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Y225" i="10" l="1"/>
  <c r="Y222" i="10"/>
  <c r="AW225" i="10"/>
  <c r="AW222" i="10"/>
  <c r="AW219" i="10"/>
  <c r="AW216" i="10"/>
  <c r="AW213" i="10"/>
  <c r="AW210" i="10"/>
  <c r="AW207" i="10"/>
  <c r="AW204" i="10"/>
  <c r="AW352" i="10"/>
  <c r="Y358" i="10"/>
  <c r="Y355" i="10"/>
  <c r="Y352" i="10"/>
  <c r="M355" i="10"/>
  <c r="M352" i="10"/>
  <c r="AK237" i="10"/>
  <c r="AK234" i="10"/>
  <c r="AK231" i="10"/>
  <c r="AK228" i="10"/>
  <c r="AK225" i="10"/>
  <c r="AK222" i="10"/>
  <c r="AK219" i="10"/>
  <c r="AK216" i="10"/>
  <c r="AK213" i="10"/>
  <c r="AK210" i="10"/>
  <c r="AK207" i="10"/>
  <c r="AK204" i="10"/>
  <c r="Y219" i="10"/>
  <c r="Y216" i="10"/>
  <c r="Y213" i="10"/>
  <c r="Y210" i="10"/>
  <c r="Y207" i="10"/>
  <c r="Y204" i="10"/>
  <c r="M213" i="10"/>
  <c r="M210" i="10"/>
  <c r="M207" i="10"/>
  <c r="M204" i="10"/>
  <c r="AW332" i="10"/>
  <c r="AK329" i="10"/>
  <c r="Y332"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AZ632" i="10"/>
  <c r="C190" i="13"/>
  <c r="H190" i="13"/>
  <c r="BF632" i="10"/>
  <c r="I190" i="13"/>
  <c r="BG632" i="10"/>
  <c r="J190" i="13"/>
  <c r="BH632" i="10"/>
  <c r="K190" i="13"/>
  <c r="BI632" i="10"/>
  <c r="L190" i="13"/>
  <c r="BJ632" i="10"/>
  <c r="M190" i="13"/>
  <c r="N190" i="13"/>
  <c r="O190" i="13"/>
  <c r="P190" i="13"/>
  <c r="Q190" i="13"/>
  <c r="R190" i="13"/>
  <c r="S190" i="13"/>
  <c r="BQ632" i="10"/>
  <c r="T190" i="13"/>
  <c r="BR632" i="10"/>
  <c r="U190" i="13"/>
  <c r="BT632" i="10"/>
  <c r="W190" i="13"/>
  <c r="Z190" i="13"/>
  <c r="AA190" i="13"/>
  <c r="AB190" i="13"/>
  <c r="AC190" i="13"/>
  <c r="AD190" i="13"/>
  <c r="AE190" i="13"/>
  <c r="AF190" i="13"/>
  <c r="N225" i="10"/>
  <c r="AX633" i="10"/>
  <c r="A191" i="13"/>
  <c r="B191" i="13"/>
  <c r="AZ633" i="10"/>
  <c r="C191" i="13"/>
  <c r="BE633" i="10"/>
  <c r="H191" i="13"/>
  <c r="BF633" i="10"/>
  <c r="I191" i="13"/>
  <c r="BG633" i="10"/>
  <c r="J191" i="13"/>
  <c r="BH633" i="10"/>
  <c r="K191" i="13"/>
  <c r="BI633" i="10"/>
  <c r="L191" i="13"/>
  <c r="BJ633" i="10"/>
  <c r="M191" i="13"/>
  <c r="N191" i="13"/>
  <c r="O191" i="13"/>
  <c r="P191" i="13"/>
  <c r="Q191" i="13"/>
  <c r="R191" i="13"/>
  <c r="S191" i="13"/>
  <c r="BQ633" i="10"/>
  <c r="T191" i="13"/>
  <c r="BR633" i="10"/>
  <c r="U191" i="13"/>
  <c r="BT633" i="10"/>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C279" i="13"/>
  <c r="H279" i="13"/>
  <c r="I279" i="13"/>
  <c r="J279" i="13"/>
  <c r="K279" i="13"/>
  <c r="L279" i="13"/>
  <c r="M279" i="13"/>
  <c r="N279" i="13"/>
  <c r="O279" i="13"/>
  <c r="P279" i="13"/>
  <c r="Q279" i="13"/>
  <c r="R279" i="13"/>
  <c r="S279" i="13"/>
  <c r="T279" i="13"/>
  <c r="U279" i="13"/>
  <c r="W279" i="13"/>
  <c r="Z279" i="13"/>
  <c r="AA279" i="13"/>
  <c r="AB279" i="13"/>
  <c r="AC279" i="13"/>
  <c r="AD279" i="13"/>
  <c r="AE279" i="13"/>
  <c r="AF279" i="13"/>
  <c r="Z335" i="10"/>
  <c r="AX722" i="10"/>
  <c r="A280" i="13"/>
  <c r="B280" i="13"/>
  <c r="C280" i="13"/>
  <c r="H280" i="13"/>
  <c r="I280" i="13"/>
  <c r="J280" i="13"/>
  <c r="K280" i="13"/>
  <c r="L280" i="13"/>
  <c r="M280" i="13"/>
  <c r="N280" i="13"/>
  <c r="O280" i="13"/>
  <c r="P280" i="13"/>
  <c r="Q280" i="13"/>
  <c r="R280" i="13"/>
  <c r="S280" i="13"/>
  <c r="T280" i="13"/>
  <c r="U280" i="13"/>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C285" i="13"/>
  <c r="H285" i="13"/>
  <c r="I285" i="13"/>
  <c r="J285" i="13"/>
  <c r="K285" i="13"/>
  <c r="L285" i="13"/>
  <c r="M285" i="13"/>
  <c r="N285" i="13"/>
  <c r="O285" i="13"/>
  <c r="P285" i="13"/>
  <c r="Q285" i="13"/>
  <c r="R285" i="13"/>
  <c r="S285" i="13"/>
  <c r="T285" i="13"/>
  <c r="U285" i="13"/>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A524" i="10"/>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A632" i="10"/>
  <c r="BW632" i="10"/>
  <c r="AG190" i="13"/>
  <c r="BA633" i="10"/>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W721" i="10"/>
  <c r="AG279" i="13"/>
  <c r="BW722" i="10"/>
  <c r="AG280" i="13"/>
  <c r="BW724" i="10"/>
  <c r="AG282" i="13"/>
  <c r="BA725" i="10"/>
  <c r="BW725" i="10"/>
  <c r="AG283" i="13"/>
  <c r="BA726" i="10"/>
  <c r="BW726" i="10"/>
  <c r="AG284" i="13"/>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R637" i="10"/>
  <c r="BQ637" i="10"/>
  <c r="BR636" i="10"/>
  <c r="BQ636" i="10"/>
  <c r="BR635" i="10"/>
  <c r="BQ635" i="10"/>
  <c r="BR634" i="10"/>
  <c r="BQ634" i="10"/>
  <c r="BJ637" i="10"/>
  <c r="BJ636" i="10"/>
  <c r="BJ635" i="10"/>
  <c r="BJ634" i="10"/>
  <c r="BI637" i="10"/>
  <c r="BI636" i="10"/>
  <c r="BI635" i="10"/>
  <c r="BI634" i="10"/>
  <c r="BH637" i="10"/>
  <c r="BH636" i="10"/>
  <c r="BH635" i="10"/>
  <c r="BH634" i="10"/>
  <c r="BG637" i="10"/>
  <c r="BG636" i="10"/>
  <c r="BG635" i="10"/>
  <c r="BG634" i="10"/>
  <c r="BF637" i="10"/>
  <c r="BF636" i="10"/>
  <c r="BF635" i="10"/>
  <c r="BF634" i="10"/>
  <c r="BE637" i="10"/>
  <c r="BE636" i="10"/>
  <c r="BE635" i="10"/>
  <c r="BE634" i="10"/>
  <c r="BE632" i="10"/>
  <c r="BE630" i="10"/>
  <c r="BE628" i="10"/>
  <c r="BE626" i="10"/>
  <c r="AZ637" i="10"/>
  <c r="AZ636" i="10"/>
  <c r="AZ635" i="10"/>
  <c r="AZ634"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T727" i="10"/>
  <c r="BR728" i="10"/>
  <c r="U286" i="13"/>
  <c r="BR727" i="10"/>
  <c r="BQ728" i="10"/>
  <c r="T286" i="13"/>
  <c r="BQ727" i="10"/>
  <c r="BJ728" i="10"/>
  <c r="M286" i="13"/>
  <c r="BJ727" i="10"/>
  <c r="BI728" i="10"/>
  <c r="L286" i="13"/>
  <c r="BI727" i="10"/>
  <c r="BH728" i="10"/>
  <c r="K286" i="13"/>
  <c r="BH727" i="10"/>
  <c r="BG728" i="10"/>
  <c r="J286" i="13"/>
  <c r="BG727" i="10"/>
  <c r="BF728" i="10"/>
  <c r="I286" i="13"/>
  <c r="BF727" i="10"/>
  <c r="BE728" i="10"/>
  <c r="BE727" i="10"/>
  <c r="BE726" i="10"/>
  <c r="AZ728" i="10"/>
  <c r="C286" i="13"/>
  <c r="AZ727" i="10"/>
  <c r="BT723" i="10"/>
  <c r="W281" i="13"/>
  <c r="BT722" i="10"/>
  <c r="BT721" i="10"/>
  <c r="BR723" i="10"/>
  <c r="U281" i="13"/>
  <c r="BR722" i="10"/>
  <c r="BR721" i="10"/>
  <c r="BQ723" i="10"/>
  <c r="T281" i="13"/>
  <c r="BQ722" i="10"/>
  <c r="BQ721" i="10"/>
  <c r="BJ723" i="10"/>
  <c r="M281" i="13"/>
  <c r="BJ722" i="10"/>
  <c r="BJ721" i="10"/>
  <c r="BI723" i="10"/>
  <c r="L281" i="13"/>
  <c r="BI722" i="10"/>
  <c r="BI721" i="10"/>
  <c r="BH723" i="10"/>
  <c r="K281" i="13"/>
  <c r="BH722" i="10"/>
  <c r="BH721" i="10"/>
  <c r="BG723" i="10"/>
  <c r="J281" i="13"/>
  <c r="BG722" i="10"/>
  <c r="BG721" i="10"/>
  <c r="BF723" i="10"/>
  <c r="I281" i="13"/>
  <c r="BF722" i="10"/>
  <c r="BF721" i="10"/>
  <c r="BE723" i="10"/>
  <c r="H281" i="13"/>
  <c r="BE722" i="10"/>
  <c r="BE721" i="10"/>
  <c r="BE720" i="10"/>
  <c r="AZ723" i="10"/>
  <c r="AZ722" i="10"/>
  <c r="AZ721"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BA727" i="10"/>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BA722" i="10"/>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BA721" i="10"/>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K524" i="10"/>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BA511" i="10"/>
  <c r="D69" i="13"/>
  <c r="BA516" i="10"/>
  <c r="D74" i="13"/>
  <c r="BC507" i="10"/>
  <c r="F65" i="13"/>
  <c r="BC511" i="10"/>
  <c r="F69" i="13"/>
  <c r="BC516" i="10"/>
  <c r="F74" i="13"/>
  <c r="BA520" i="10"/>
  <c r="D78" i="13"/>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BK511" i="10"/>
  <c r="N69" i="13"/>
  <c r="N82" i="13"/>
  <c r="BG511" i="10"/>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<sst xmlns="http://schemas.openxmlformats.org/spreadsheetml/2006/main" count="1113" uniqueCount="422">
  <si>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</si>
  <si>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</si>
  <si>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</si>
  <si>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</si>
  <si>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</si>
  <si>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</si>
  <si>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</si>
  <si>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</si>
  <si>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</si>
  <si>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</si>
  <si>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</si>
  <si>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</si>
  <si>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</si>
  <si>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</si>
  <si>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</si>
  <si>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</si>
  <si>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</si>
  <si>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</si>
  <si>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</si>
  <si>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</si>
  <si>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</si>
  <si>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</si>
  <si>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</si>
  <si>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</si>
  <si>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</si>
  <si>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</si>
  <si>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</si>
  <si>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</si>
  <si>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</si>
  <si>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</si>
  <si>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</si>
  <si>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</si>
  <si>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</si>
  <si>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</si>
  <si>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</si>
  <si>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</si>
  <si>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</si>
  <si>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</si>
  <si>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</si>
  <si>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</si>
  <si>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</si>
  <si>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</si>
  <si>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</si>
  <si>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</si>
  <si>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</si>
  <si>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</si>
  <si>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</si>
  <si>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</si>
  <si>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</si>
  <si>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</si>
  <si>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</si>
  <si>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</si>
  <si>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</si>
  <si>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</si>
  <si>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</si>
  <si>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</si>
  <si>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</si>
  <si>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</si>
  <si>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</si>
  <si>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</si>
  <si>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</si>
  <si>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</si>
  <si>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</si>
  <si>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</si>
  <si>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</si>
  <si>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</si>
  <si>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</si>
  <si>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</si>
  <si>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</si>
  <si>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</si>
  <si>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</si>
  <si>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</si>
  <si>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</si>
  <si>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</si>
  <si>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</si>
  <si>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</si>
  <si>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</si>
  <si>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</si>
  <si>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</si>
  <si>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</si>
  <si>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</si>
  <si>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</si>
  <si>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</si>
  <si>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</si>
  <si>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</si>
  <si>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</si>
  <si>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</si>
  <si>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</si>
  <si>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</si>
  <si>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</si>
  <si>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</si>
  <si>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</si>
  <si>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</si>
  <si>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</si>
  <si>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</si>
  <si>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</si>
  <si>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</si>
  <si>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</si>
  <si>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</si>
  <si>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</si>
  <si>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</si>
  <si>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</si>
  <si>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</si>
  <si>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</si>
  <si>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</si>
  <si>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</si>
  <si>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</si>
  <si>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</si>
  <si>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</si>
  <si>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</si>
  <si>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</si>
  <si>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</si>
  <si>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</si>
  <si>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</si>
  <si>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</si>
  <si>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</si>
  <si>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</si>
  <si>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</si>
  <si>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</si>
  <si>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</si>
  <si>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</si>
  <si>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</si>
  <si>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</si>
  <si>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</si>
  <si>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</si>
  <si>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</si>
  <si>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</si>
  <si>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</si>
  <si>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</si>
  <si>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</si>
  <si>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</si>
  <si>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</si>
  <si>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</si>
  <si>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</si>
  <si>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</si>
  <si>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</si>
  <si>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</si>
  <si>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</si>
  <si>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</si>
  <si>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</si>
  <si>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</si>
  <si>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</si>
  <si>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</si>
  <si>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</si>
  <si>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</si>
  <si>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</si>
  <si>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</si>
  <si>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</si>
  <si>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</si>
  <si>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</si>
  <si>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</si>
  <si>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</si>
  <si>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</si>
  <si>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</si>
  <si>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</si>
  <si>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</si>
  <si>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</si>
  <si>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</si>
  <si>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</si>
  <si>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</si>
  <si>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</si>
  <si>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</si>
  <si>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</si>
  <si>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</si>
  <si>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</si>
  <si>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</si>
  <si>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</si>
  <si>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</si>
  <si>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</si>
  <si>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</si>
  <si>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</si>
  <si>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</si>
  <si>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</si>
  <si>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</si>
  <si>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</si>
  <si>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</si>
  <si>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</si>
  <si>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</si>
  <si>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</si>
  <si>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</si>
  <si>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</si>
  <si>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</si>
  <si>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</si>
  <si>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</si>
  <si>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</si>
  <si>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</si>
  <si>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</si>
  <si>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</si>
  <si>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</si>
  <si>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</si>
  <si>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</si>
  <si>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</si>
  <si>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</si>
  <si>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</si>
  <si>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</si>
  <si>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</si>
  <si>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</si>
  <si>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</si>
  <si>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</si>
  <si>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</si>
  <si>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</si>
  <si>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</si>
  <si>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</si>
  <si>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</si>
  <si>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</si>
  <si>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</si>
  <si>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</si>
  <si>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</si>
  <si>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</si>
  <si>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</si>
  <si>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</si>
  <si>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</si>
  <si>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</si>
  <si>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</si>
  <si>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</si>
  <si>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</si>
  <si>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</si>
  <si>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</si>
  <si>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</si>
  <si>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</si>
  <si>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</si>
  <si>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</si>
  <si>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</si>
  <si>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</si>
  <si>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</si>
  <si>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</si>
  <si>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</si>
  <si>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</si>
  <si>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</si>
  <si>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</si>
  <si>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</si>
  <si>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</si>
  <si>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</si>
  <si>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</si>
  <si>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</si>
  <si>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</si>
  <si>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</si>
  <si>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</si>
  <si>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</si>
  <si>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</si>
  <si>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</si>
  <si>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</si>
  <si>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</si>
  <si>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</si>
  <si>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</si>
  <si>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</si>
  <si>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</si>
  <si>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</si>
  <si>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</si>
  <si>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</si>
  <si>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</si>
  <si>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</si>
  <si>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</si>
  <si>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</si>
  <si>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</si>
  <si>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</si>
  <si>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</si>
  <si>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</si>
  <si>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</si>
  <si>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</si>
  <si>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</si>
  <si>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</si>
  <si>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</si>
  <si>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</si>
  <si>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</si>
  <si>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</si>
  <si>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</si>
  <si>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</si>
  <si>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</si>
  <si>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</si>
  <si>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</si>
  <si>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</si>
  <si>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</si>
  <si>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</si>
  <si>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</si>
  <si>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</si>
  <si>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</si>
  <si>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</si>
  <si>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</si>
  <si>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</si>
  <si>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</si>
  <si>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</si>
  <si>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</si>
  <si>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</si>
  <si>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</si>
  <si>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</si>
  <si>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</si>
  <si>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</si>
  <si>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</si>
  <si>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</si>
  <si>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</si>
  <si>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</si>
  <si>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</si>
  <si>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</si>
  <si>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</si>
  <si>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</si>
  <si>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</si>
  <si>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</si>
  <si>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</si>
  <si>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</si>
  <si>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</si>
  <si>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</si>
  <si>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</si>
  <si>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</si>
  <si>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</si>
  <si>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</si>
  <si>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</si>
  <si>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</si>
  <si>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</si>
  <si>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</si>
  <si>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</si>
  <si>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</si>
  <si>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</si>
  <si>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</si>
  <si>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</si>
  <si>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</si>
  <si>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</si>
  <si>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</si>
  <si>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</si>
  <si>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</si>
  <si>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</si>
  <si>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</si>
  <si>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Organe de maşini I</t>
  </si>
  <si>
    <t>Acţionări şi comenzi pneumatice  şi hidraulice</t>
  </si>
  <si>
    <t>Opțional 1 independent</t>
  </si>
  <si>
    <t>Opțional 2 independent</t>
  </si>
  <si>
    <t>Opțional 3 independent</t>
  </si>
  <si>
    <t>Organe de maşini II</t>
  </si>
  <si>
    <t>Opțional 4 independent</t>
  </si>
  <si>
    <t>Opțional 5 independent</t>
  </si>
  <si>
    <t>Opțional 6 independent</t>
  </si>
  <si>
    <t>Opțional 7 independent</t>
  </si>
  <si>
    <t>Opțional 8 independent</t>
  </si>
  <si>
    <t>Opțional 9 independent</t>
  </si>
  <si>
    <t>Opțional 10 independent</t>
  </si>
  <si>
    <t>Management</t>
  </si>
  <si>
    <t>Algebră şi geometrie</t>
  </si>
  <si>
    <t>Utilizarea şi programarea calculatoarelor</t>
  </si>
  <si>
    <t>Chimie generală</t>
  </si>
  <si>
    <t>Grafică tehnică asistată de calculator</t>
  </si>
  <si>
    <t>Ştiinţa si ingineria materialelor I</t>
  </si>
  <si>
    <t>Fundamente de mecanică</t>
  </si>
  <si>
    <t xml:space="preserve">Tehnologia materialelor </t>
  </si>
  <si>
    <t>Cultură şi civilizaţie</t>
  </si>
  <si>
    <t>Fundamente de inginerie electrică şi electronică</t>
  </si>
  <si>
    <t>Matematici asistate de calculator</t>
  </si>
  <si>
    <t>Utilizarea calculatoarelor II</t>
  </si>
  <si>
    <t>Introducere în metode numerice</t>
  </si>
  <si>
    <t>Ştiinţa materialelor II</t>
  </si>
  <si>
    <t>Termotehnica</t>
  </si>
  <si>
    <t>Fundamente de automatizări</t>
  </si>
  <si>
    <t>Microeconomie</t>
  </si>
  <si>
    <t>Măsurări</t>
  </si>
  <si>
    <t>Bazele proceselor de asamblare</t>
  </si>
  <si>
    <t>Bazele procesării materialelor polimerice</t>
  </si>
  <si>
    <t xml:space="preserve">Mecanisme </t>
  </si>
  <si>
    <t>Psihologia educaţiei</t>
  </si>
  <si>
    <t>Voluntariat</t>
  </si>
  <si>
    <t>Responsabilitate socială şi activism civic</t>
  </si>
  <si>
    <t>Didactica specialităţii</t>
  </si>
  <si>
    <t>Tratamente termice</t>
  </si>
  <si>
    <t>Practica 2 de domeniu</t>
  </si>
  <si>
    <t>Practica 3 de specialitate</t>
  </si>
  <si>
    <t>Marketing</t>
  </si>
  <si>
    <t>Comunicare</t>
  </si>
  <si>
    <r>
      <t>Opțional 1-împachetat</t>
    </r>
    <r>
      <rPr>
        <vertAlign val="superscript"/>
        <sz val="14"/>
        <color rgb="FF002060"/>
        <rFont val="Arial"/>
        <family val="2"/>
      </rPr>
      <t>1)</t>
    </r>
  </si>
  <si>
    <r>
      <t>Opțional 2-împachetat</t>
    </r>
    <r>
      <rPr>
        <vertAlign val="superscript"/>
        <sz val="14"/>
        <color rgb="FF002060"/>
        <rFont val="Arial"/>
        <family val="2"/>
      </rPr>
      <t>1)</t>
    </r>
  </si>
  <si>
    <t>Disciplină facultativă</t>
  </si>
  <si>
    <t xml:space="preserve">Comunicare educaţională </t>
  </si>
  <si>
    <t>Practică pedagogică</t>
  </si>
  <si>
    <t>Practică pedagogică 2</t>
  </si>
  <si>
    <t>Evaluare finală - Portofoliu didactic</t>
  </si>
  <si>
    <t>Inginerie industrială</t>
  </si>
  <si>
    <t>Tehnologia Constructiilor de Masini</t>
  </si>
  <si>
    <t>Misiunea programului de studii de licenta specializarea Tehnologia Constructiilor de Masini (TCM) este de a forma ingineri cu o pregătire teoretică și practică avansată în domeniul mecanic, cu cunoștinte si abilităţi practice referitoare la materiale de uz industrial și tehnologii de fabricaţie, cu o bună pregatire în domeniul concepţiei, asimilării şi coordonării proceselor de fabricaţie, de asamblare şi montaj, a produselor industriale şi de consum, din materiale metalice, plastice şi compozite, competenţe conforme cu cele declarate în site-ul UPT (http://www.upt.ro/img/files/2020-2021/licenta/pi/mec/2020_2021_MEC_IngInd_TCM_Anii_III_IV.pdf)  și  RNCIS (www.anc.edu.ro/registrul-national-al-calificarilor-din-invatamantul-superior-rncis/), descrise în detaliu in Anexa 2.1-6.1 la Raportul de autoevaluare și corelate cu cerinţele mediului industrial.</t>
  </si>
  <si>
    <t>Obiectivele programului de studiu supus evaluarii sunt asociate competentelor asociate specializarii TCM, asa cum sunt declarate pe site-ul UPT si RNCIS : 
O1 Oferirea studenților de oportunitați bine conturate privind pregătirea lor profesională şi ştiinţifică, pe baza experientei si competentelor individuale ale cadrelor didactice implicate in procesul educativ, inclusiv asigurarea continuităţii pregatirii profesionale a studentilor in domeniul specializarii, cu deschidere spre calificari de nivel superior: master  si doctorat 
O2. Formarea de ingineri mecanici specialişti, cu profil profesional multidisciplinar, de înaltă calitate si complex, ancorat în contextul industrial actual si de perspectiva 
O3. Formarea capacităţilor intelectuale şi a abilităţilor practice pentru studenți, corelate cu necesitățile pieții muncii, cu cerințele de perspectivă ale angajatorilor dar si cu intentiile de dezvoltare profesionala a studentului, prin învățământ formativ, modular, cu discipline optionale, bazat pe credite transferabile, 
O4. Dezvoltarea spiritului antreprenorial și de etică profesionala al studenților, 
O5. Asigurarea contactului cursanților cu stadiul actual al cunoașterii și dezvoltării domeniului (materiale, tehnologii, tendinte/perspective de evolutie), fara a neglija însă și oferta de activități pentru dezvoltare personala, recreative și competiționale</t>
  </si>
  <si>
    <t>C1. Efectuarea de calcule, demonstraţii şi aplicaţii, pentru rezolvarea de sarcini specifice ingineriei industriale pe baza cunoştinţelor din stiintele fundamentale
C2.  Asocierea cunoştinţelor, principiilor şi metodelor din ştiinţele tehnice ale domeniului cu reprezentări grafice pentru rezolvarea de sarcini specific
C3. Utilizarea de aplicaţii software şi a tehnologiilor digitale pentru rezolvarea de sarcini specifice ingineriei industriale, în general, şi pentru proiectarea asistata a produselor în particular
C4.  Elaborarea proceselor tehnologice de fabricare
C5.  Proiectarea si exploatarea echipamentelor de fabricare
C6.  Planificarea, conducerea si asigurarea calităţii proceselor de fabricare</t>
  </si>
  <si>
    <t>CT1. Aplicarea valorilor şi eticii profesiei de inginer, si executarea responsabila a sarcinilor profesionale în condiţii de autonomie restrânsă şi asistenţă calificată. Promovarea raţionamentului logic, convergent şi divergent, a aplicabilităţii practice, a evaluării si autoevaluării in luarea deciziilor.
CT2. Realizarea activităţilor şi exercitarea rolurilor specifice muncii în echipă pe diferite paliere ierarhice; Promovarea spiritului de iniţiativă, dialogului, cooperării, atitudinii pozitive şi respectului faţă de ceilalţi, diversităţii şi multiculturalităţii si îmbunătăţirea continua a propriei activităţi
CT3. Autoevaluarea obiectivă a nevoii de formare profesională continuă în scopul inserţiei pe piaţa muncii şi al adaptării la dinamica cerinţelor acesteia si pentru dezvoltarea personală şi profesională. Utilizarea eficientă a abilităţilor lingvistice si a cunoştinţelor de tehnologia informaţiei şi a comunicării</t>
  </si>
  <si>
    <t>Proiectant inginer mecanic -214438; 
Expert inginer mecanic - 214434; 
Formator - 242401; (în domeniul specializării)
Inginer de cercetare în tehnologia constructiilor de masini - 214467; 
Inginer mecanic - 214401; 
Inginer montaj - 215302; 
Inginer productie - 215205; 
Inginer tehnolog în fabricarea armamentului si munitiei - 214445; 
Inginer tehnolog prelucrari mecanice - 214444;
Instructor sistem de productie - 214113;
Programator fabricatie/ lansator fabricatie - 214136; 
Referent de specialitate inginer mecanic - 214436; 
Specialist în domeniul calitatii - 214129</t>
  </si>
  <si>
    <t>420</t>
  </si>
  <si>
    <t>Bazele proceselor de fabricatie</t>
  </si>
  <si>
    <t>Proiectarea asistată de calculator</t>
  </si>
  <si>
    <t>Pedagogie 1</t>
  </si>
  <si>
    <t>Pedagogie 2</t>
  </si>
  <si>
    <r>
      <t>Observatii:</t>
    </r>
    <r>
      <rPr>
        <b/>
        <i/>
        <sz val="11"/>
        <color indexed="18"/>
        <rFont val="Arial"/>
        <family val="2"/>
      </rPr>
      <t xml:space="preserve"> 1) Disciplinele împachetate 1 si 2 se aleg integral din pachetul P1 sau P2 din tabelul DISCIPLINE OPTIONALE.
2) Disciplinele împachetate 3, 4, 5 si 6 se aleg integral din pachetul P3 sau P4 din tabelul DISCIPLINE OPTIONALE.
3) Durata: 7 săptămâni x 26 ore din care stagiu de practică 2 săptămâni x 26 ore.
</t>
    </r>
  </si>
  <si>
    <r>
      <t>Opțional 3-împachetat</t>
    </r>
    <r>
      <rPr>
        <vertAlign val="superscript"/>
        <sz val="14"/>
        <color rgb="FF002060"/>
        <rFont val="Arial"/>
        <family val="2"/>
      </rPr>
      <t>2)</t>
    </r>
  </si>
  <si>
    <r>
      <t>Opțional 4-împachetat</t>
    </r>
    <r>
      <rPr>
        <vertAlign val="superscript"/>
        <sz val="14"/>
        <color rgb="FF002060"/>
        <rFont val="Arial"/>
        <family val="2"/>
      </rPr>
      <t>2)</t>
    </r>
  </si>
  <si>
    <r>
      <t>Opțional 5-împachetat</t>
    </r>
    <r>
      <rPr>
        <vertAlign val="superscript"/>
        <sz val="14"/>
        <color rgb="FF002060"/>
        <rFont val="Arial"/>
        <family val="2"/>
      </rPr>
      <t>2)</t>
    </r>
  </si>
  <si>
    <r>
      <t>Opțional 6-împachetat</t>
    </r>
    <r>
      <rPr>
        <vertAlign val="superscript"/>
        <sz val="14"/>
        <color rgb="FF002060"/>
        <rFont val="Arial"/>
        <family val="2"/>
      </rPr>
      <t>2)</t>
    </r>
  </si>
  <si>
    <r>
      <t>Elaborare proiect de diplomă</t>
    </r>
    <r>
      <rPr>
        <vertAlign val="superscript"/>
        <sz val="14"/>
        <color rgb="FF002060"/>
        <rFont val="Arial"/>
        <family val="2"/>
      </rPr>
      <t>3)</t>
    </r>
  </si>
  <si>
    <t>Opțional 1 independent                                                                         Prototipare si fabricatie rapida (*)</t>
  </si>
  <si>
    <t xml:space="preserve">Opțional 1                                                                                                  Logistica fabricatiei            </t>
  </si>
  <si>
    <t>Opțional 2 independent 
Tehnologii de deformare plastică (*)</t>
  </si>
  <si>
    <t>Opțional 2 independent 
Sisteme de prelucrare prin deformări plastice</t>
  </si>
  <si>
    <t>Opțional 3 independent 
Selecţia materialelor (*)</t>
  </si>
  <si>
    <t>Opțional 3 independent                                                                        Controlul materialelor</t>
  </si>
  <si>
    <t>Opțional 4 independent
Maşini unelte  (*)</t>
  </si>
  <si>
    <t>Opțional 4 independent 
Sisteme de prelucrare</t>
  </si>
  <si>
    <t>Opțional 5 independent 
Ingineria calităţii (*)</t>
  </si>
  <si>
    <t>Opțional 5 independent                                                              Managementul calităţii</t>
  </si>
  <si>
    <t>Opțional 6 independent  
Acoperiri termice şi recondiţonări (*)</t>
  </si>
  <si>
    <t>Opțional 6 independent  
Protecţii anticorozive</t>
  </si>
  <si>
    <r>
      <t>Opțional 1-împachetat</t>
    </r>
    <r>
      <rPr>
        <vertAlign val="superscript"/>
        <sz val="14"/>
        <color rgb="FF002060"/>
        <rFont val="Arial"/>
        <family val="2"/>
        <charset val="238"/>
      </rPr>
      <t xml:space="preserve"> </t>
    </r>
    <r>
      <rPr>
        <sz val="14"/>
        <color rgb="FF002060"/>
        <rFont val="Arial"/>
        <family val="2"/>
      </rPr>
      <t>(P1)
Dispozitive tehnologice (*)</t>
    </r>
  </si>
  <si>
    <t>Opțional 2-împachetat (P1)
Constructia si exploatarea sculelor aschietoare (*)</t>
  </si>
  <si>
    <t>Opțional 1-împachetat  (P2)
Disponibilitatea operationala a sist tehn si Dispozitive tehnologice</t>
  </si>
  <si>
    <t>Opțional 2-împachetat  (P2)
Scule aschietoare</t>
  </si>
  <si>
    <t>Opțional 3-împachetat  (P3)
Tehnologii pe masini cu comenzi numerice (*)</t>
  </si>
  <si>
    <t>Opțional 4-împachetat (P3)
Tehnologii si echipamente de fabricatie (*)</t>
  </si>
  <si>
    <t>Opțional 5-împachetat (P3)
Proceduri de masurare 3D (*)</t>
  </si>
  <si>
    <t>Opțional 6-împachetat(P3)
Tehnologii de procesare a materialelor polimerice (*)</t>
  </si>
  <si>
    <t>Opțional 3-împachetat (P4)
Sisteme flexibile de fabricatie</t>
  </si>
  <si>
    <t>Opțional 4-împachetat (P4)
Procese si echipamente de fabricatie</t>
  </si>
  <si>
    <t>Opțional 5-împachetat (P4)
Inspectie dimensionala asistata de calculator</t>
  </si>
  <si>
    <t>Opțional 6-împachetat(P4)
Tehnologia produselor injectate</t>
  </si>
  <si>
    <t>Opțional 7 independent 
Tehnologia fabricarii produselor (*)</t>
  </si>
  <si>
    <t>Opțional 7 independent 
Tehnologia constructiei de masini</t>
  </si>
  <si>
    <t>Opțional 8 independent 
Servomecanisme, traductori si senzori  (*)</t>
  </si>
  <si>
    <t>Opțional 8 independent 
Actionarea utilajelor de prelucrare</t>
  </si>
  <si>
    <t>Opțional 9 independent 
Inovare si comunicare profesionala (*)</t>
  </si>
  <si>
    <t>Opțional 9 independent 
Creativitate tehnica si analiza valorii</t>
  </si>
  <si>
    <t xml:space="preserve">Opțional 10 independent 
Deformarea şi ruperea materialelor </t>
  </si>
  <si>
    <t>Opțional 10 independent 
Procedee de sudare industrială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</si>
</sst>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0"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
      <vertAlign val="superscript"/>
      <sz val="14"/>
      <color rgb="FF002060"/>
      <name val="Arial"/>
      <family val="2"/>
      <charset val="238"/>
    </font>
    <fon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0">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J35" sqref="J35:U3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1" t="s">
        <v>307</v>
      </c>
      <c r="B4" s="441"/>
      <c r="C4" s="441"/>
      <c r="D4" s="441"/>
      <c r="E4" s="441"/>
      <c r="F4" s="441"/>
      <c r="G4" s="441"/>
      <c r="H4" s="441"/>
      <c r="I4" s="441"/>
      <c r="J4" s="441"/>
      <c r="K4" s="441"/>
      <c r="L4" s="441"/>
      <c r="M4" s="441"/>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9" t="s">
        <v>373</v>
      </c>
      <c r="K25" s="439"/>
      <c r="L25" s="439"/>
      <c r="M25" s="439"/>
      <c r="N25" s="439"/>
      <c r="O25" s="439"/>
      <c r="P25" s="439"/>
      <c r="Q25" s="439"/>
      <c r="R25" s="439"/>
      <c r="S25" s="439"/>
      <c r="T25" s="439"/>
      <c r="U25" s="439"/>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9" t="s">
        <v>309</v>
      </c>
      <c r="K27" s="439"/>
      <c r="L27" s="439"/>
      <c r="M27" s="439"/>
      <c r="N27" s="439"/>
      <c r="O27" s="439"/>
      <c r="P27" s="439"/>
      <c r="Q27" s="439"/>
      <c r="R27" s="439"/>
      <c r="S27" s="439"/>
      <c r="T27" s="439"/>
      <c r="U27" s="439"/>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9" t="s">
        <v>310</v>
      </c>
      <c r="K29" s="439"/>
      <c r="L29" s="439"/>
      <c r="M29" s="439"/>
      <c r="N29" s="439"/>
      <c r="O29" s="439"/>
      <c r="P29" s="439"/>
      <c r="Q29" s="439"/>
      <c r="R29" s="439"/>
      <c r="S29" s="439"/>
      <c r="T29" s="439"/>
      <c r="U29" s="439"/>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9" t="s">
        <v>372</v>
      </c>
      <c r="K31" s="439"/>
      <c r="L31" s="439"/>
      <c r="M31" s="439"/>
      <c r="N31" s="439"/>
      <c r="O31" s="439"/>
      <c r="P31" s="439"/>
      <c r="Q31" s="439"/>
      <c r="R31" s="439"/>
      <c r="S31" s="439"/>
      <c r="T31" s="439"/>
      <c r="U31" s="439"/>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53" t="s">
        <v>92</v>
      </c>
      <c r="K33" s="453"/>
      <c r="L33" s="453"/>
      <c r="M33" s="453"/>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9" t="s">
        <v>176</v>
      </c>
      <c r="K35" s="439"/>
      <c r="L35" s="439"/>
      <c r="M35" s="439"/>
      <c r="N35" s="439"/>
      <c r="O35" s="439"/>
      <c r="P35" s="439"/>
      <c r="Q35" s="439"/>
      <c r="R35" s="439"/>
      <c r="S35" s="439"/>
      <c r="T35" s="439"/>
      <c r="U35" s="439"/>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0" t="s">
        <v>39</v>
      </c>
      <c r="C45" s="440"/>
      <c r="D45" s="440"/>
      <c r="E45" s="440"/>
      <c r="F45" s="440"/>
      <c r="G45" s="440"/>
      <c r="H45" s="440"/>
      <c r="I45" s="440"/>
      <c r="N45" s="440" t="s">
        <v>42</v>
      </c>
      <c r="O45" s="440"/>
      <c r="P45" s="440"/>
      <c r="Q45" s="440"/>
      <c r="R45" s="440"/>
      <c r="S45" s="440"/>
      <c r="T45" s="440"/>
      <c r="U45" s="440"/>
      <c r="V45" s="135"/>
      <c r="W45" s="135"/>
      <c r="X45" s="135"/>
      <c r="Z45" s="135"/>
      <c r="AA45" s="135"/>
      <c r="AB45" s="135"/>
      <c r="AC45" s="15"/>
      <c r="AD45" s="15"/>
      <c r="AE45" s="15"/>
      <c r="AF45" s="15"/>
      <c r="AI45" s="15"/>
      <c r="AJ45" s="15"/>
      <c r="AK45" s="15"/>
    </row>
    <row r="46" spans="1:38" s="59" customFormat="1" ht="15.75" x14ac:dyDescent="0.25">
      <c r="B46" s="438" t="s">
        <v>285</v>
      </c>
      <c r="C46" s="438"/>
      <c r="D46" s="438"/>
      <c r="E46" s="438"/>
      <c r="F46" s="438"/>
      <c r="G46" s="438"/>
      <c r="H46" s="438"/>
      <c r="I46" s="438"/>
      <c r="J46" s="140"/>
      <c r="K46" s="140"/>
      <c r="L46" s="140"/>
      <c r="N46" s="438" t="s">
        <v>308</v>
      </c>
      <c r="O46" s="438"/>
      <c r="P46" s="438"/>
      <c r="Q46" s="438"/>
      <c r="R46" s="438"/>
      <c r="S46" s="438"/>
      <c r="T46" s="438"/>
      <c r="U46" s="438"/>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6" t="s">
        <v>257</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151"/>
      <c r="AA57" s="151"/>
      <c r="AB57" s="151"/>
      <c r="AC57" s="151"/>
      <c r="AD57" s="151"/>
      <c r="AE57" s="151"/>
      <c r="AF57" s="151"/>
      <c r="AG57" s="151"/>
      <c r="AH57" s="151"/>
      <c r="AI57" s="151"/>
      <c r="AJ57" s="15"/>
    </row>
    <row r="58" spans="1:36" s="6" customFormat="1" ht="18.75" customHeight="1" x14ac:dyDescent="0.2">
      <c r="A58" s="434" t="s">
        <v>374</v>
      </c>
      <c r="B58" s="435"/>
      <c r="C58" s="435"/>
      <c r="D58" s="435"/>
      <c r="E58" s="435"/>
      <c r="F58" s="435"/>
      <c r="G58" s="435"/>
      <c r="H58" s="435"/>
      <c r="I58" s="435"/>
      <c r="J58" s="435"/>
      <c r="K58" s="435"/>
      <c r="L58" s="435"/>
      <c r="M58" s="435"/>
      <c r="N58" s="435"/>
      <c r="O58" s="435"/>
      <c r="P58" s="435"/>
      <c r="Q58" s="435"/>
      <c r="R58" s="435"/>
      <c r="S58" s="435"/>
      <c r="T58" s="435"/>
      <c r="U58" s="435"/>
      <c r="V58" s="435"/>
      <c r="W58" s="435"/>
      <c r="X58" s="435"/>
      <c r="Y58" s="435"/>
      <c r="Z58" s="148"/>
      <c r="AA58" s="148"/>
      <c r="AB58" s="148"/>
      <c r="AC58" s="148"/>
      <c r="AD58" s="148"/>
      <c r="AE58" s="148"/>
      <c r="AF58" s="148"/>
      <c r="AG58" s="148"/>
      <c r="AH58" s="148"/>
      <c r="AI58" s="148"/>
      <c r="AJ58" s="15"/>
    </row>
    <row r="59" spans="1:36" s="6" customFormat="1" ht="13.5" customHeight="1" x14ac:dyDescent="0.2">
      <c r="A59" s="434"/>
      <c r="B59" s="435"/>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148"/>
      <c r="AA59" s="148"/>
      <c r="AB59" s="148"/>
      <c r="AC59" s="148"/>
      <c r="AD59" s="148"/>
      <c r="AE59" s="148"/>
      <c r="AF59" s="148"/>
      <c r="AG59" s="148"/>
      <c r="AH59" s="148"/>
      <c r="AI59" s="148"/>
      <c r="AJ59" s="15"/>
    </row>
    <row r="60" spans="1:36" s="6" customFormat="1" ht="15" x14ac:dyDescent="0.2">
      <c r="A60" s="451"/>
      <c r="B60" s="452"/>
      <c r="C60" s="452"/>
      <c r="D60" s="452"/>
      <c r="E60" s="452"/>
      <c r="F60" s="452"/>
      <c r="G60" s="452"/>
      <c r="H60" s="452"/>
      <c r="I60" s="452"/>
      <c r="J60" s="452"/>
      <c r="K60" s="452"/>
      <c r="L60" s="452"/>
      <c r="M60" s="452"/>
      <c r="N60" s="452"/>
      <c r="O60" s="452"/>
      <c r="P60" s="452"/>
      <c r="Q60" s="452"/>
      <c r="R60" s="452"/>
      <c r="S60" s="452"/>
      <c r="T60" s="452"/>
      <c r="U60" s="452"/>
      <c r="V60" s="452"/>
      <c r="W60" s="452"/>
      <c r="X60" s="452"/>
      <c r="Y60" s="452"/>
      <c r="Z60" s="452"/>
      <c r="AA60" s="452"/>
      <c r="AB60" s="452"/>
      <c r="AC60" s="452"/>
      <c r="AD60" s="452"/>
      <c r="AE60" s="452"/>
      <c r="AF60" s="452"/>
      <c r="AG60" s="452"/>
      <c r="AH60" s="452"/>
      <c r="AI60" s="452"/>
      <c r="AJ60" s="15"/>
    </row>
    <row r="61" spans="1:36" s="6" customFormat="1" ht="15.75" customHeight="1" x14ac:dyDescent="0.25">
      <c r="A61" s="446" t="s">
        <v>258</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151"/>
      <c r="AA61" s="151"/>
      <c r="AB61" s="151"/>
      <c r="AC61" s="151"/>
      <c r="AD61" s="151"/>
      <c r="AE61" s="151"/>
      <c r="AF61" s="151"/>
      <c r="AG61" s="151"/>
      <c r="AH61" s="151"/>
      <c r="AI61" s="151"/>
      <c r="AJ61" s="15"/>
    </row>
    <row r="62" spans="1:36" s="6" customFormat="1" ht="15" customHeight="1" x14ac:dyDescent="0.2">
      <c r="A62" s="436" t="s">
        <v>375</v>
      </c>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149"/>
      <c r="AA62" s="149"/>
      <c r="AB62" s="149"/>
      <c r="AC62" s="149"/>
      <c r="AD62" s="149"/>
      <c r="AE62" s="149"/>
      <c r="AF62" s="149"/>
      <c r="AG62" s="149"/>
      <c r="AH62" s="149"/>
      <c r="AI62" s="149"/>
      <c r="AJ62" s="15"/>
    </row>
    <row r="63" spans="1:36" s="6" customFormat="1" ht="15" customHeight="1" x14ac:dyDescent="0.2">
      <c r="A63" s="436"/>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149"/>
      <c r="AA63" s="149"/>
      <c r="AB63" s="149"/>
      <c r="AC63" s="149"/>
      <c r="AD63" s="149"/>
      <c r="AE63" s="149"/>
      <c r="AF63" s="149"/>
      <c r="AG63" s="149"/>
      <c r="AH63" s="149"/>
      <c r="AI63" s="149"/>
      <c r="AJ63" s="15"/>
    </row>
    <row r="64" spans="1:36" s="6" customFormat="1" ht="3.75" customHeight="1" x14ac:dyDescent="0.2">
      <c r="A64" s="436"/>
      <c r="B64" s="437"/>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6" t="s">
        <v>293</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151"/>
      <c r="AA66" s="151"/>
      <c r="AB66" s="151"/>
      <c r="AC66" s="151"/>
      <c r="AD66" s="151"/>
      <c r="AE66" s="151"/>
      <c r="AF66" s="151"/>
      <c r="AG66" s="151"/>
      <c r="AH66" s="151"/>
      <c r="AI66" s="151"/>
      <c r="AJ66" s="88"/>
    </row>
    <row r="67" spans="1:39" s="96" customFormat="1" ht="20.25" customHeight="1" x14ac:dyDescent="0.3">
      <c r="A67" s="446" t="s">
        <v>80</v>
      </c>
      <c r="B67" s="447"/>
      <c r="C67" s="447"/>
      <c r="D67" s="447"/>
      <c r="E67" s="447"/>
      <c r="F67" s="447"/>
      <c r="G67" s="447"/>
      <c r="H67" s="447"/>
      <c r="I67" s="447"/>
      <c r="J67" s="447"/>
      <c r="K67" s="447"/>
      <c r="L67" s="447"/>
      <c r="M67" s="447"/>
      <c r="N67" s="447"/>
      <c r="O67" s="447"/>
      <c r="P67" s="447"/>
      <c r="Q67" s="447"/>
      <c r="R67" s="447"/>
      <c r="S67" s="447"/>
      <c r="T67" s="447"/>
      <c r="U67" s="447"/>
      <c r="V67" s="447"/>
      <c r="W67" s="447"/>
      <c r="X67" s="447"/>
      <c r="Y67" s="447"/>
      <c r="Z67" s="149"/>
      <c r="AA67" s="149"/>
      <c r="AB67" s="149"/>
      <c r="AC67" s="149"/>
      <c r="AD67" s="149"/>
      <c r="AE67" s="149"/>
      <c r="AF67" s="149"/>
      <c r="AG67" s="149"/>
      <c r="AH67" s="149"/>
      <c r="AI67" s="149"/>
      <c r="AJ67" s="88"/>
    </row>
    <row r="68" spans="1:39" s="96" customFormat="1" ht="20.25" customHeight="1" x14ac:dyDescent="0.3">
      <c r="A68" s="444" t="s">
        <v>376</v>
      </c>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149"/>
      <c r="AA68" s="149"/>
      <c r="AB68" s="149"/>
      <c r="AC68" s="149"/>
      <c r="AD68" s="149"/>
      <c r="AE68" s="149"/>
      <c r="AF68" s="149"/>
      <c r="AG68" s="149"/>
      <c r="AH68" s="149"/>
      <c r="AI68" s="149"/>
      <c r="AJ68" s="88"/>
    </row>
    <row r="69" spans="1:39" s="96" customFormat="1" ht="48.75" customHeight="1" x14ac:dyDescent="0.3">
      <c r="A69" s="444"/>
      <c r="B69" s="44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149"/>
      <c r="AA69" s="149"/>
      <c r="AB69" s="149"/>
      <c r="AC69" s="149"/>
      <c r="AD69" s="149"/>
      <c r="AE69" s="149"/>
      <c r="AF69" s="149"/>
      <c r="AG69" s="149"/>
      <c r="AH69" s="149"/>
      <c r="AI69" s="149"/>
      <c r="AJ69" s="88"/>
    </row>
    <row r="70" spans="1:39" s="96" customFormat="1" ht="6.75" customHeight="1" x14ac:dyDescent="0.3">
      <c r="A70" s="444"/>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149"/>
      <c r="AA70" s="149"/>
      <c r="AB70" s="149"/>
      <c r="AC70" s="149"/>
      <c r="AD70" s="149"/>
      <c r="AE70" s="149"/>
      <c r="AF70" s="149"/>
      <c r="AG70" s="149"/>
      <c r="AH70" s="149"/>
      <c r="AI70" s="149"/>
      <c r="AJ70" s="88"/>
    </row>
    <row r="71" spans="1:39" s="96" customFormat="1" ht="20.25" hidden="1" customHeight="1" x14ac:dyDescent="0.3">
      <c r="A71" s="444"/>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149"/>
      <c r="AA71" s="149"/>
      <c r="AB71" s="149"/>
      <c r="AC71" s="149"/>
      <c r="AD71" s="149"/>
      <c r="AE71" s="149"/>
      <c r="AF71" s="149"/>
      <c r="AG71" s="149"/>
      <c r="AH71" s="149"/>
      <c r="AI71" s="149"/>
      <c r="AJ71" s="88"/>
    </row>
    <row r="72" spans="1:39" s="96" customFormat="1" ht="21" hidden="1" customHeight="1" x14ac:dyDescent="0.35">
      <c r="A72" s="444"/>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149"/>
      <c r="AA72" s="149"/>
      <c r="AB72" s="149"/>
      <c r="AC72" s="149"/>
      <c r="AD72" s="149"/>
      <c r="AE72" s="149"/>
      <c r="AF72" s="149"/>
      <c r="AG72" s="149"/>
      <c r="AH72" s="149"/>
      <c r="AI72" s="149"/>
      <c r="AJ72" s="88"/>
      <c r="AM72" s="97"/>
    </row>
    <row r="73" spans="1:39" s="96" customFormat="1" ht="20.25" hidden="1" customHeight="1" x14ac:dyDescent="0.3">
      <c r="A73" s="444"/>
      <c r="B73" s="44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151"/>
      <c r="AA73" s="151"/>
      <c r="AB73" s="151"/>
      <c r="AC73" s="151"/>
      <c r="AD73" s="151"/>
      <c r="AE73" s="151"/>
      <c r="AF73" s="151"/>
      <c r="AG73" s="151"/>
      <c r="AH73" s="151"/>
      <c r="AI73" s="151"/>
      <c r="AJ73" s="88"/>
    </row>
    <row r="74" spans="1:39" s="96" customFormat="1" ht="21" hidden="1" customHeight="1" x14ac:dyDescent="0.35">
      <c r="A74" s="444"/>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149"/>
      <c r="AA74" s="149"/>
      <c r="AB74" s="149"/>
      <c r="AC74" s="149"/>
      <c r="AD74" s="149"/>
      <c r="AE74" s="149"/>
      <c r="AF74" s="149"/>
      <c r="AG74" s="149"/>
      <c r="AH74" s="149"/>
      <c r="AI74" s="149"/>
      <c r="AJ74" s="88"/>
      <c r="AM74" s="97"/>
    </row>
    <row r="75" spans="1:39" s="96" customFormat="1" ht="78" hidden="1" customHeight="1" x14ac:dyDescent="0.3">
      <c r="A75" s="444"/>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46" t="s">
        <v>81</v>
      </c>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149"/>
      <c r="AA77" s="149"/>
      <c r="AB77" s="149"/>
      <c r="AC77" s="149"/>
      <c r="AD77" s="149"/>
      <c r="AE77" s="149"/>
      <c r="AF77" s="149"/>
      <c r="AG77" s="149"/>
      <c r="AH77" s="149"/>
      <c r="AI77" s="149"/>
      <c r="AJ77" s="88"/>
    </row>
    <row r="78" spans="1:39" s="96" customFormat="1" ht="20.25" customHeight="1" x14ac:dyDescent="0.3">
      <c r="A78" s="448" t="s">
        <v>377</v>
      </c>
      <c r="B78" s="449"/>
      <c r="C78" s="449"/>
      <c r="D78" s="449"/>
      <c r="E78" s="449"/>
      <c r="F78" s="449"/>
      <c r="G78" s="449"/>
      <c r="H78" s="449"/>
      <c r="I78" s="449"/>
      <c r="J78" s="449"/>
      <c r="K78" s="449"/>
      <c r="L78" s="449"/>
      <c r="M78" s="449"/>
      <c r="N78" s="449"/>
      <c r="O78" s="449"/>
      <c r="P78" s="449"/>
      <c r="Q78" s="449"/>
      <c r="R78" s="449"/>
      <c r="S78" s="449"/>
      <c r="T78" s="449"/>
      <c r="U78" s="449"/>
      <c r="V78" s="449"/>
      <c r="W78" s="449"/>
      <c r="X78" s="449"/>
      <c r="Y78" s="449"/>
      <c r="Z78" s="149"/>
      <c r="AA78" s="149"/>
      <c r="AB78" s="149"/>
      <c r="AC78" s="149"/>
      <c r="AD78" s="149"/>
      <c r="AE78" s="149"/>
      <c r="AF78" s="149"/>
      <c r="AG78" s="149"/>
      <c r="AH78" s="149"/>
      <c r="AI78" s="149"/>
      <c r="AJ78" s="88"/>
    </row>
    <row r="79" spans="1:39" s="96" customFormat="1" ht="17.25" customHeight="1" x14ac:dyDescent="0.3">
      <c r="A79" s="448"/>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449"/>
      <c r="Z79" s="149"/>
      <c r="AA79" s="149"/>
      <c r="AB79" s="149"/>
      <c r="AC79" s="149"/>
      <c r="AD79" s="149"/>
      <c r="AE79" s="149"/>
      <c r="AF79" s="149"/>
      <c r="AG79" s="149"/>
      <c r="AH79" s="149"/>
      <c r="AI79" s="149"/>
      <c r="AJ79" s="88"/>
    </row>
    <row r="80" spans="1:39" s="96" customFormat="1" ht="1.5" customHeight="1" x14ac:dyDescent="0.3">
      <c r="A80" s="450"/>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149"/>
      <c r="AA80" s="149"/>
      <c r="AB80" s="149"/>
      <c r="AC80" s="149"/>
      <c r="AD80" s="149"/>
      <c r="AE80" s="149"/>
      <c r="AF80" s="149"/>
      <c r="AG80" s="149"/>
      <c r="AH80" s="149"/>
      <c r="AI80" s="149"/>
      <c r="AJ80" s="88"/>
    </row>
    <row r="81" spans="1:36" s="59" customFormat="1" ht="15" hidden="1" customHeight="1" x14ac:dyDescent="0.2">
      <c r="A81" s="450"/>
      <c r="B81" s="449"/>
      <c r="C81" s="449"/>
      <c r="D81" s="449"/>
      <c r="E81" s="449"/>
      <c r="F81" s="449"/>
      <c r="G81" s="449"/>
      <c r="H81" s="449"/>
      <c r="I81" s="449"/>
      <c r="J81" s="449"/>
      <c r="K81" s="449"/>
      <c r="L81" s="449"/>
      <c r="M81" s="449"/>
      <c r="N81" s="449"/>
      <c r="O81" s="449"/>
      <c r="P81" s="449"/>
      <c r="Q81" s="449"/>
      <c r="R81" s="449"/>
      <c r="S81" s="449"/>
      <c r="T81" s="449"/>
      <c r="U81" s="449"/>
      <c r="V81" s="449"/>
      <c r="W81" s="449"/>
      <c r="X81" s="449"/>
      <c r="Y81" s="449"/>
      <c r="Z81" s="140"/>
      <c r="AA81" s="140"/>
      <c r="AB81" s="145"/>
      <c r="AC81" s="140"/>
      <c r="AD81" s="145"/>
      <c r="AE81" s="140"/>
      <c r="AF81" s="140"/>
      <c r="AG81" s="140"/>
      <c r="AH81" s="140"/>
      <c r="AI81" s="140"/>
      <c r="AJ81" s="88"/>
    </row>
    <row r="82" spans="1:36" s="59" customFormat="1" ht="18" customHeight="1" x14ac:dyDescent="0.2">
      <c r="A82" s="450"/>
      <c r="B82" s="449"/>
      <c r="C82" s="449"/>
      <c r="D82" s="449"/>
      <c r="E82" s="449"/>
      <c r="F82" s="449"/>
      <c r="G82" s="449"/>
      <c r="H82" s="449"/>
      <c r="I82" s="449"/>
      <c r="J82" s="449"/>
      <c r="K82" s="449"/>
      <c r="L82" s="449"/>
      <c r="M82" s="449"/>
      <c r="N82" s="449"/>
      <c r="O82" s="449"/>
      <c r="P82" s="449"/>
      <c r="Q82" s="449"/>
      <c r="R82" s="449"/>
      <c r="S82" s="449"/>
      <c r="T82" s="449"/>
      <c r="U82" s="449"/>
      <c r="V82" s="449"/>
      <c r="W82" s="449"/>
      <c r="X82" s="449"/>
      <c r="Y82" s="449"/>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6" t="s">
        <v>95</v>
      </c>
      <c r="B84" s="447"/>
      <c r="C84" s="447"/>
      <c r="D84" s="447"/>
      <c r="E84" s="447"/>
      <c r="F84" s="447"/>
      <c r="G84" s="447"/>
      <c r="H84" s="447"/>
      <c r="I84" s="447"/>
      <c r="J84" s="447"/>
      <c r="K84" s="447"/>
      <c r="L84" s="447"/>
      <c r="M84" s="447"/>
      <c r="N84" s="447"/>
      <c r="O84" s="447"/>
      <c r="P84" s="447"/>
      <c r="Q84" s="447"/>
      <c r="R84" s="447"/>
      <c r="S84" s="447"/>
      <c r="T84" s="447"/>
      <c r="U84" s="447"/>
      <c r="V84" s="447"/>
      <c r="W84" s="447"/>
      <c r="X84" s="447"/>
      <c r="Y84" s="447"/>
      <c r="Z84" s="144"/>
      <c r="AA84" s="144"/>
      <c r="AB84" s="144"/>
      <c r="AC84" s="144"/>
      <c r="AD84" s="144"/>
      <c r="AE84" s="144"/>
      <c r="AF84" s="144"/>
      <c r="AG84" s="144"/>
      <c r="AH84" s="144"/>
      <c r="AI84" s="144"/>
      <c r="AJ84" s="88"/>
    </row>
    <row r="85" spans="1:36" s="59" customFormat="1" ht="15.75" customHeight="1" x14ac:dyDescent="0.2">
      <c r="A85" s="442" t="s">
        <v>99</v>
      </c>
      <c r="B85" s="443"/>
      <c r="C85" s="443"/>
      <c r="D85" s="443"/>
      <c r="E85" s="443"/>
      <c r="F85" s="443"/>
      <c r="G85" s="443"/>
      <c r="H85" s="443"/>
      <c r="I85" s="443"/>
      <c r="J85" s="443"/>
      <c r="K85" s="443"/>
      <c r="L85" s="443"/>
      <c r="M85" s="443"/>
      <c r="N85" s="443"/>
      <c r="O85" s="443"/>
      <c r="P85" s="443"/>
      <c r="Q85" s="443"/>
      <c r="R85" s="443"/>
      <c r="S85" s="443"/>
      <c r="T85" s="443"/>
      <c r="U85" s="443"/>
      <c r="V85" s="443"/>
      <c r="W85" s="443"/>
      <c r="X85" s="443"/>
      <c r="Y85" s="443"/>
      <c r="Z85" s="150"/>
      <c r="AA85" s="150"/>
      <c r="AB85" s="150"/>
      <c r="AC85" s="150"/>
      <c r="AD85" s="150"/>
      <c r="AE85" s="150"/>
      <c r="AF85" s="150"/>
      <c r="AG85" s="150"/>
      <c r="AH85" s="150"/>
      <c r="AI85" s="150"/>
      <c r="AJ85" s="150"/>
    </row>
    <row r="86" spans="1:36" s="59" customFormat="1" ht="15.75" customHeight="1" x14ac:dyDescent="0.25">
      <c r="A86" s="136"/>
      <c r="B86" s="444" t="s">
        <v>378</v>
      </c>
      <c r="C86" s="445"/>
      <c r="D86" s="445"/>
      <c r="E86" s="445"/>
      <c r="F86" s="445"/>
      <c r="G86" s="445"/>
      <c r="H86" s="445"/>
      <c r="I86" s="445"/>
      <c r="J86" s="445"/>
      <c r="K86" s="445"/>
      <c r="L86" s="445"/>
      <c r="M86" s="445"/>
      <c r="N86" s="445"/>
      <c r="O86" s="445"/>
      <c r="P86" s="445"/>
      <c r="Q86" s="445"/>
      <c r="R86" s="445"/>
      <c r="S86" s="445"/>
      <c r="T86" s="445"/>
      <c r="U86" s="445"/>
      <c r="V86" s="445"/>
      <c r="W86" s="445"/>
      <c r="X86" s="445"/>
      <c r="Y86" s="445"/>
      <c r="Z86" s="150"/>
      <c r="AA86" s="150"/>
      <c r="AB86" s="150"/>
      <c r="AC86" s="150"/>
      <c r="AD86" s="150"/>
      <c r="AE86" s="150"/>
      <c r="AF86" s="150"/>
      <c r="AG86" s="150"/>
      <c r="AH86" s="150"/>
      <c r="AI86" s="150"/>
      <c r="AJ86" s="150"/>
    </row>
    <row r="87" spans="1:36" s="59" customFormat="1" ht="15.75" customHeight="1" x14ac:dyDescent="0.25">
      <c r="A87" s="136"/>
      <c r="B87" s="444"/>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150"/>
      <c r="AA87" s="150"/>
      <c r="AB87" s="150"/>
      <c r="AC87" s="150"/>
      <c r="AD87" s="150"/>
      <c r="AE87" s="150"/>
      <c r="AF87" s="150"/>
      <c r="AG87" s="150"/>
      <c r="AH87" s="150"/>
      <c r="AI87" s="150"/>
      <c r="AJ87" s="150"/>
    </row>
    <row r="88" spans="1:36" s="59" customFormat="1" ht="12" customHeight="1" x14ac:dyDescent="0.25">
      <c r="A88" s="136"/>
      <c r="B88" s="444"/>
      <c r="C88" s="445"/>
      <c r="D88" s="445"/>
      <c r="E88" s="445"/>
      <c r="F88" s="445"/>
      <c r="G88" s="445"/>
      <c r="H88" s="445"/>
      <c r="I88" s="445"/>
      <c r="J88" s="445"/>
      <c r="K88" s="445"/>
      <c r="L88" s="445"/>
      <c r="M88" s="445"/>
      <c r="N88" s="445"/>
      <c r="O88" s="445"/>
      <c r="P88" s="445"/>
      <c r="Q88" s="445"/>
      <c r="R88" s="445"/>
      <c r="S88" s="445"/>
      <c r="T88" s="445"/>
      <c r="U88" s="445"/>
      <c r="V88" s="445"/>
      <c r="W88" s="445"/>
      <c r="X88" s="445"/>
      <c r="Y88" s="445"/>
      <c r="Z88" s="150"/>
      <c r="AA88" s="150"/>
      <c r="AB88" s="150"/>
      <c r="AC88" s="150"/>
      <c r="AD88" s="150"/>
      <c r="AE88" s="150"/>
      <c r="AF88" s="150"/>
      <c r="AG88" s="150"/>
      <c r="AH88" s="150"/>
      <c r="AI88" s="150"/>
      <c r="AJ88" s="150"/>
    </row>
    <row r="89" spans="1:36" s="59" customFormat="1" ht="15.75" hidden="1" x14ac:dyDescent="0.25">
      <c r="A89" s="136"/>
      <c r="B89" s="444"/>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71"/>
      <c r="AA89" s="71"/>
      <c r="AB89" s="83"/>
      <c r="AC89" s="71"/>
      <c r="AD89" s="83"/>
      <c r="AE89" s="71"/>
      <c r="AF89" s="71"/>
      <c r="AG89" s="71"/>
      <c r="AH89" s="72"/>
      <c r="AI89" s="72"/>
    </row>
    <row r="90" spans="1:36" s="59" customFormat="1" ht="15.75" hidden="1" customHeight="1" x14ac:dyDescent="0.25">
      <c r="A90" s="136"/>
      <c r="B90" s="444"/>
      <c r="C90" s="445"/>
      <c r="D90" s="445"/>
      <c r="E90" s="445"/>
      <c r="F90" s="445"/>
      <c r="G90" s="445"/>
      <c r="H90" s="445"/>
      <c r="I90" s="445"/>
      <c r="J90" s="445"/>
      <c r="K90" s="445"/>
      <c r="L90" s="445"/>
      <c r="M90" s="445"/>
      <c r="N90" s="445"/>
      <c r="O90" s="445"/>
      <c r="P90" s="445"/>
      <c r="Q90" s="445"/>
      <c r="R90" s="445"/>
      <c r="S90" s="445"/>
      <c r="T90" s="445"/>
      <c r="U90" s="445"/>
      <c r="V90" s="445"/>
      <c r="W90" s="445"/>
      <c r="X90" s="445"/>
      <c r="Y90" s="445"/>
      <c r="Z90" s="150"/>
      <c r="AA90" s="150"/>
      <c r="AB90" s="150"/>
      <c r="AC90" s="150"/>
      <c r="AD90" s="150"/>
      <c r="AE90" s="150"/>
      <c r="AF90" s="150"/>
      <c r="AG90" s="150"/>
      <c r="AH90" s="150"/>
      <c r="AI90" s="150"/>
      <c r="AJ90" s="150"/>
    </row>
    <row r="91" spans="1:36" s="59" customFormat="1" ht="33" hidden="1" customHeight="1" x14ac:dyDescent="0.25">
      <c r="A91" s="136"/>
      <c r="B91" s="444"/>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F12" sqref="F12"/>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industrială</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Tehnologia Constructiilor de Masini</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130</v>
      </c>
      <c r="D12" s="253">
        <v>10</v>
      </c>
      <c r="E12" s="158" t="s">
        <v>52</v>
      </c>
      <c r="F12" s="171" t="s">
        <v>379</v>
      </c>
      <c r="G12" s="172">
        <v>19</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26" t="s">
        <v>71</v>
      </c>
      <c r="B15" s="526"/>
      <c r="C15" s="526"/>
      <c r="D15" s="526"/>
      <c r="E15" s="526"/>
      <c r="F15" s="526"/>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row>
    <row r="16" spans="1:49" s="58" customFormat="1" ht="18.75" thickBot="1" x14ac:dyDescent="0.3">
      <c r="A16" s="555" t="str">
        <f>IF(ISBLANK($G$12),"Pentru seria de studenti 20XX-20YY",CONCATENATE("Pentru seria de studenti 20",$G$12,-20,$G$12+3))</f>
        <v>Pentru seria de studenti 2019-2022</v>
      </c>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row>
    <row r="17" spans="1:49" s="59" customFormat="1" ht="21" customHeight="1" thickTop="1" thickBot="1" x14ac:dyDescent="0.25">
      <c r="B17" s="488" t="str">
        <f>IF(ISBLANK($G$12),"ANUL I",CONCATENATE("ANUL I (20",$G$12,-20,$G$12+1,")"))</f>
        <v>ANUL I (2019-2020)</v>
      </c>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8" t="str">
        <f>IF(ISBLANK($G$12),"ANUL II",CONCATENATE("ANUL II (20",$G$12+1,-20,$G$12+2,")"))</f>
        <v>ANUL II (2020-2021)</v>
      </c>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row>
    <row r="18" spans="1:49" s="59" customFormat="1" ht="21" customHeight="1" thickTop="1" thickBot="1" x14ac:dyDescent="0.25">
      <c r="A18" s="60"/>
      <c r="B18" s="488" t="s">
        <v>1</v>
      </c>
      <c r="C18" s="489"/>
      <c r="D18" s="489"/>
      <c r="E18" s="489"/>
      <c r="F18" s="489"/>
      <c r="G18" s="489"/>
      <c r="H18" s="489"/>
      <c r="I18" s="489"/>
      <c r="J18" s="489"/>
      <c r="K18" s="489"/>
      <c r="L18" s="489"/>
      <c r="M18" s="489"/>
      <c r="N18" s="488" t="s">
        <v>2</v>
      </c>
      <c r="O18" s="489"/>
      <c r="P18" s="489"/>
      <c r="Q18" s="489"/>
      <c r="R18" s="489"/>
      <c r="S18" s="489"/>
      <c r="T18" s="489"/>
      <c r="U18" s="489"/>
      <c r="V18" s="489"/>
      <c r="W18" s="489"/>
      <c r="X18" s="489"/>
      <c r="Y18" s="489"/>
      <c r="Z18" s="488" t="s">
        <v>3</v>
      </c>
      <c r="AA18" s="489"/>
      <c r="AB18" s="489"/>
      <c r="AC18" s="489"/>
      <c r="AD18" s="489"/>
      <c r="AE18" s="489"/>
      <c r="AF18" s="489"/>
      <c r="AG18" s="489"/>
      <c r="AH18" s="489"/>
      <c r="AI18" s="489"/>
      <c r="AJ18" s="489"/>
      <c r="AK18" s="489"/>
      <c r="AL18" s="488" t="s">
        <v>4</v>
      </c>
      <c r="AM18" s="489"/>
      <c r="AN18" s="489"/>
      <c r="AO18" s="489"/>
      <c r="AP18" s="489"/>
      <c r="AQ18" s="489"/>
      <c r="AR18" s="489"/>
      <c r="AS18" s="489"/>
      <c r="AT18" s="489"/>
      <c r="AU18" s="489"/>
      <c r="AV18" s="489"/>
      <c r="AW18" s="489"/>
    </row>
    <row r="19" spans="1:49" s="61" customFormat="1" ht="21" customHeight="1" thickTop="1" x14ac:dyDescent="0.25">
      <c r="A19" s="513" t="s">
        <v>53</v>
      </c>
      <c r="B19" s="549" t="s">
        <v>45</v>
      </c>
      <c r="C19" s="550"/>
      <c r="D19" s="550"/>
      <c r="E19" s="550"/>
      <c r="F19" s="550"/>
      <c r="G19" s="550"/>
      <c r="H19" s="550"/>
      <c r="I19" s="550"/>
      <c r="J19" s="550"/>
      <c r="K19" s="550"/>
      <c r="L19" s="550"/>
      <c r="M19" s="551"/>
      <c r="N19" s="549" t="s">
        <v>315</v>
      </c>
      <c r="O19" s="550"/>
      <c r="P19" s="550"/>
      <c r="Q19" s="550"/>
      <c r="R19" s="550"/>
      <c r="S19" s="550"/>
      <c r="T19" s="550"/>
      <c r="U19" s="550"/>
      <c r="V19" s="550"/>
      <c r="W19" s="550"/>
      <c r="X19" s="550"/>
      <c r="Y19" s="551"/>
      <c r="Z19" s="549" t="s">
        <v>344</v>
      </c>
      <c r="AA19" s="550"/>
      <c r="AB19" s="550"/>
      <c r="AC19" s="550"/>
      <c r="AD19" s="550"/>
      <c r="AE19" s="550"/>
      <c r="AF19" s="550"/>
      <c r="AG19" s="550"/>
      <c r="AH19" s="550"/>
      <c r="AI19" s="550"/>
      <c r="AJ19" s="550"/>
      <c r="AK19" s="551"/>
      <c r="AL19" s="549" t="s">
        <v>350</v>
      </c>
      <c r="AM19" s="550"/>
      <c r="AN19" s="550"/>
      <c r="AO19" s="550"/>
      <c r="AP19" s="550"/>
      <c r="AQ19" s="550"/>
      <c r="AR19" s="550"/>
      <c r="AS19" s="550"/>
      <c r="AT19" s="550"/>
      <c r="AU19" s="550"/>
      <c r="AV19" s="550"/>
      <c r="AW19" s="551"/>
    </row>
    <row r="20" spans="1:49" s="61" customFormat="1" ht="21" customHeight="1" x14ac:dyDescent="0.25">
      <c r="A20" s="514"/>
      <c r="B20" s="552"/>
      <c r="C20" s="553"/>
      <c r="D20" s="553"/>
      <c r="E20" s="553"/>
      <c r="F20" s="553"/>
      <c r="G20" s="553"/>
      <c r="H20" s="553"/>
      <c r="I20" s="553"/>
      <c r="J20" s="553"/>
      <c r="K20" s="553"/>
      <c r="L20" s="553"/>
      <c r="M20" s="554"/>
      <c r="N20" s="552"/>
      <c r="O20" s="553"/>
      <c r="P20" s="553"/>
      <c r="Q20" s="553"/>
      <c r="R20" s="553"/>
      <c r="S20" s="553"/>
      <c r="T20" s="553"/>
      <c r="U20" s="553"/>
      <c r="V20" s="553"/>
      <c r="W20" s="553"/>
      <c r="X20" s="553"/>
      <c r="Y20" s="554"/>
      <c r="Z20" s="552"/>
      <c r="AA20" s="553"/>
      <c r="AB20" s="553"/>
      <c r="AC20" s="553"/>
      <c r="AD20" s="553"/>
      <c r="AE20" s="553"/>
      <c r="AF20" s="553"/>
      <c r="AG20" s="553"/>
      <c r="AH20" s="553"/>
      <c r="AI20" s="553"/>
      <c r="AJ20" s="553"/>
      <c r="AK20" s="554"/>
      <c r="AL20" s="552"/>
      <c r="AM20" s="553"/>
      <c r="AN20" s="553"/>
      <c r="AO20" s="553"/>
      <c r="AP20" s="553"/>
      <c r="AQ20" s="553"/>
      <c r="AR20" s="553"/>
      <c r="AS20" s="553"/>
      <c r="AT20" s="553"/>
      <c r="AU20" s="553"/>
      <c r="AV20" s="553"/>
      <c r="AW20" s="554"/>
    </row>
    <row r="21" spans="1:49" s="61" customFormat="1" ht="21" customHeight="1" thickBot="1" x14ac:dyDescent="0.3">
      <c r="A21" s="515"/>
      <c r="B21" s="516" t="str">
        <f>IF(ISBLANK(B19),"",CONCATENATE($E$12,$F$12,".",$G$12,".","0",RIGHT($B$18,1),".",RIGHT(L21,1),$A19,IF(COUNTIFS(B19,"*op?ional*")=1,"-ij","")))</f>
        <v>L420.19.01.F1</v>
      </c>
      <c r="C21" s="517"/>
      <c r="D21" s="518"/>
      <c r="E21" s="364">
        <v>4</v>
      </c>
      <c r="F21" s="365" t="s">
        <v>5</v>
      </c>
      <c r="G21" s="366">
        <v>0</v>
      </c>
      <c r="H21" s="367">
        <v>28</v>
      </c>
      <c r="I21" s="367">
        <v>0</v>
      </c>
      <c r="J21" s="368">
        <v>0</v>
      </c>
      <c r="K21" s="365">
        <v>0</v>
      </c>
      <c r="L21" s="427" t="s">
        <v>46</v>
      </c>
      <c r="M21" s="187">
        <f>E21*25-G21-H21-I21-J21-K21</f>
        <v>72</v>
      </c>
      <c r="N21" s="516" t="str">
        <f>IF(ISBLANK(N19),"",CONCATENATE($E$12,$F$12,".",$G$12,".","0",RIGHT($N$18,1),".",RIGHT(X21,1),$A19,IF(COUNTIFS(N19,"*op?ional*")=1,"-ij","")))</f>
        <v>L420.19.02.F1</v>
      </c>
      <c r="O21" s="517"/>
      <c r="P21" s="518"/>
      <c r="Q21" s="364">
        <v>4</v>
      </c>
      <c r="R21" s="365" t="s">
        <v>295</v>
      </c>
      <c r="S21" s="366">
        <v>0</v>
      </c>
      <c r="T21" s="367">
        <v>14</v>
      </c>
      <c r="U21" s="367">
        <v>14</v>
      </c>
      <c r="V21" s="368">
        <v>0</v>
      </c>
      <c r="W21" s="365">
        <v>0</v>
      </c>
      <c r="X21" s="365" t="s">
        <v>46</v>
      </c>
      <c r="Y21" s="187">
        <f>Q21*25-S21-T21-U21-V21-W21</f>
        <v>72</v>
      </c>
      <c r="Z21" s="516" t="str">
        <f>IF(ISBLANK(Z19),"",CONCATENATE($E$12,$F$12,".",$G$12,".","0",RIGHT($Z$18,1),".",RIGHT(AJ21,1),$A19,IF(COUNTIFS(Z19,"*op?ional*")=1,"-ij","")))</f>
        <v>L420.19.03.D1</v>
      </c>
      <c r="AA21" s="517"/>
      <c r="AB21" s="518"/>
      <c r="AC21" s="364">
        <v>5</v>
      </c>
      <c r="AD21" s="365" t="s">
        <v>5</v>
      </c>
      <c r="AE21" s="366">
        <v>0</v>
      </c>
      <c r="AF21" s="367">
        <v>0</v>
      </c>
      <c r="AG21" s="367">
        <v>28</v>
      </c>
      <c r="AH21" s="368">
        <v>0</v>
      </c>
      <c r="AI21" s="365">
        <v>0</v>
      </c>
      <c r="AJ21" s="365" t="s">
        <v>54</v>
      </c>
      <c r="AK21" s="187">
        <f>AC21*25-AE21-AF21-AG21-AH21-AI21</f>
        <v>97</v>
      </c>
      <c r="AL21" s="516" t="str">
        <f>IF(ISBLANK(AL19), "",CONCATENATE($E$12,$F$12,".",$G$12,".","0",RIGHT($AL$18,1),".",RIGHT(AV21,1),$A19,IF(COUNTIFS(AL19,"*op?ional*")=1,"-ij","")))</f>
        <v>L420.19.04.D1</v>
      </c>
      <c r="AM21" s="517"/>
      <c r="AN21" s="518"/>
      <c r="AO21" s="364">
        <v>2</v>
      </c>
      <c r="AP21" s="365" t="s">
        <v>295</v>
      </c>
      <c r="AQ21" s="366">
        <v>0</v>
      </c>
      <c r="AR21" s="367">
        <v>0</v>
      </c>
      <c r="AS21" s="367">
        <v>14</v>
      </c>
      <c r="AT21" s="368">
        <v>0</v>
      </c>
      <c r="AU21" s="365">
        <v>0</v>
      </c>
      <c r="AV21" s="365" t="s">
        <v>54</v>
      </c>
      <c r="AW21" s="187">
        <f>AO21*25-AQ21-AR21-AS21-AT21-AU21</f>
        <v>36</v>
      </c>
    </row>
    <row r="22" spans="1:49" s="61" customFormat="1" ht="21" customHeight="1" thickTop="1" x14ac:dyDescent="0.25">
      <c r="A22" s="513" t="s">
        <v>55</v>
      </c>
      <c r="B22" s="549" t="s">
        <v>336</v>
      </c>
      <c r="C22" s="550"/>
      <c r="D22" s="550"/>
      <c r="E22" s="550"/>
      <c r="F22" s="550"/>
      <c r="G22" s="550"/>
      <c r="H22" s="550"/>
      <c r="I22" s="550"/>
      <c r="J22" s="550"/>
      <c r="K22" s="550"/>
      <c r="L22" s="550"/>
      <c r="M22" s="551"/>
      <c r="N22" s="549" t="s">
        <v>339</v>
      </c>
      <c r="O22" s="550"/>
      <c r="P22" s="550"/>
      <c r="Q22" s="550"/>
      <c r="R22" s="550"/>
      <c r="S22" s="550"/>
      <c r="T22" s="550"/>
      <c r="U22" s="550"/>
      <c r="V22" s="550"/>
      <c r="W22" s="550"/>
      <c r="X22" s="550"/>
      <c r="Y22" s="551"/>
      <c r="Z22" s="549" t="s">
        <v>345</v>
      </c>
      <c r="AA22" s="550"/>
      <c r="AB22" s="550"/>
      <c r="AC22" s="550"/>
      <c r="AD22" s="550"/>
      <c r="AE22" s="550"/>
      <c r="AF22" s="550"/>
      <c r="AG22" s="550"/>
      <c r="AH22" s="550"/>
      <c r="AI22" s="550"/>
      <c r="AJ22" s="550"/>
      <c r="AK22" s="551"/>
      <c r="AL22" s="549" t="s">
        <v>351</v>
      </c>
      <c r="AM22" s="550"/>
      <c r="AN22" s="550"/>
      <c r="AO22" s="550"/>
      <c r="AP22" s="550"/>
      <c r="AQ22" s="550"/>
      <c r="AR22" s="550"/>
      <c r="AS22" s="550"/>
      <c r="AT22" s="550"/>
      <c r="AU22" s="550"/>
      <c r="AV22" s="550"/>
      <c r="AW22" s="551"/>
    </row>
    <row r="23" spans="1:49" s="61" customFormat="1" ht="21" customHeight="1" x14ac:dyDescent="0.25">
      <c r="A23" s="514"/>
      <c r="B23" s="552"/>
      <c r="C23" s="553"/>
      <c r="D23" s="553"/>
      <c r="E23" s="553"/>
      <c r="F23" s="553"/>
      <c r="G23" s="553"/>
      <c r="H23" s="553"/>
      <c r="I23" s="553"/>
      <c r="J23" s="553"/>
      <c r="K23" s="553"/>
      <c r="L23" s="553"/>
      <c r="M23" s="554"/>
      <c r="N23" s="552"/>
      <c r="O23" s="553"/>
      <c r="P23" s="553"/>
      <c r="Q23" s="553"/>
      <c r="R23" s="553"/>
      <c r="S23" s="553"/>
      <c r="T23" s="553"/>
      <c r="U23" s="553"/>
      <c r="V23" s="553"/>
      <c r="W23" s="553"/>
      <c r="X23" s="553"/>
      <c r="Y23" s="554"/>
      <c r="Z23" s="552"/>
      <c r="AA23" s="553"/>
      <c r="AB23" s="553"/>
      <c r="AC23" s="553"/>
      <c r="AD23" s="553"/>
      <c r="AE23" s="553"/>
      <c r="AF23" s="553"/>
      <c r="AG23" s="553"/>
      <c r="AH23" s="553"/>
      <c r="AI23" s="553"/>
      <c r="AJ23" s="553"/>
      <c r="AK23" s="554"/>
      <c r="AL23" s="552"/>
      <c r="AM23" s="553"/>
      <c r="AN23" s="553"/>
      <c r="AO23" s="553"/>
      <c r="AP23" s="553"/>
      <c r="AQ23" s="553"/>
      <c r="AR23" s="553"/>
      <c r="AS23" s="553"/>
      <c r="AT23" s="553"/>
      <c r="AU23" s="553"/>
      <c r="AV23" s="553"/>
      <c r="AW23" s="554"/>
    </row>
    <row r="24" spans="1:49" s="61" customFormat="1" ht="21" customHeight="1" thickBot="1" x14ac:dyDescent="0.3">
      <c r="A24" s="515"/>
      <c r="B24" s="516" t="str">
        <f>IF(ISBLANK(B22),"",CONCATENATE($E$12,$F$12,".",$G$12,".","0",RIGHT($B$18,1),".",RIGHT(L24,1),$A22,IF(COUNTIFS(B22,"*op?ional*")=1,"-ij","")))</f>
        <v>L420.19.01.F2</v>
      </c>
      <c r="C24" s="517"/>
      <c r="D24" s="518"/>
      <c r="E24" s="364">
        <v>4</v>
      </c>
      <c r="F24" s="365" t="s">
        <v>5</v>
      </c>
      <c r="G24" s="366">
        <v>0</v>
      </c>
      <c r="H24" s="367">
        <v>28</v>
      </c>
      <c r="I24" s="367">
        <v>0</v>
      </c>
      <c r="J24" s="368">
        <v>0</v>
      </c>
      <c r="K24" s="365">
        <v>0</v>
      </c>
      <c r="L24" s="427" t="s">
        <v>46</v>
      </c>
      <c r="M24" s="187">
        <f>E24*25-G24-H24-I24-J24-K24</f>
        <v>72</v>
      </c>
      <c r="N24" s="516" t="str">
        <f>IF(ISBLANK(N22),"",CONCATENATE($E$12,$F$12,".",$G$12,".","0",RIGHT($N$18,1),".",RIGHT(X24,1),$A22,IF(COUNTIFS(N22,"*op?ional*")=1,"-ij","")))</f>
        <v>L420.19.02.F2</v>
      </c>
      <c r="O24" s="517"/>
      <c r="P24" s="518"/>
      <c r="Q24" s="364">
        <v>5</v>
      </c>
      <c r="R24" s="365" t="s">
        <v>5</v>
      </c>
      <c r="S24" s="366">
        <v>0</v>
      </c>
      <c r="T24" s="367">
        <v>0</v>
      </c>
      <c r="U24" s="367">
        <v>35</v>
      </c>
      <c r="V24" s="368">
        <v>0</v>
      </c>
      <c r="W24" s="365">
        <v>0</v>
      </c>
      <c r="X24" s="365" t="s">
        <v>46</v>
      </c>
      <c r="Y24" s="187">
        <f>Q24*25-S24-T24-U24-V24-W24</f>
        <v>90</v>
      </c>
      <c r="Z24" s="516" t="str">
        <f>IF(ISBLANK(Z22),"",CONCATENATE($E$12,$F$12,".",$G$12,".","0",RIGHT($Z$18,1),".",RIGHT(AJ24,1),$A22,IF(COUNTIFS(Z22,"*op?ional*")=1,"-ij","")))</f>
        <v>L420.19.03.F2</v>
      </c>
      <c r="AA24" s="517"/>
      <c r="AB24" s="518"/>
      <c r="AC24" s="364">
        <v>5</v>
      </c>
      <c r="AD24" s="365" t="s">
        <v>295</v>
      </c>
      <c r="AE24" s="366">
        <v>0</v>
      </c>
      <c r="AF24" s="367">
        <v>14</v>
      </c>
      <c r="AG24" s="367">
        <v>14</v>
      </c>
      <c r="AH24" s="368">
        <v>0</v>
      </c>
      <c r="AI24" s="365">
        <v>0</v>
      </c>
      <c r="AJ24" s="365" t="s">
        <v>46</v>
      </c>
      <c r="AK24" s="187">
        <f>AC24*25-AE24-AF24-AG24-AH24-AI24</f>
        <v>97</v>
      </c>
      <c r="AL24" s="516" t="str">
        <f>IF(ISBLANK(AL22), "",CONCATENATE($E$12,$F$12,".",$G$12,".","0",RIGHT($AL$18,1),".",RIGHT(AV24,1),$A22,IF(COUNTIFS(AL22,"*op?ional*")=1,"-ij","")))</f>
        <v>L420.19.04.C2</v>
      </c>
      <c r="AM24" s="517"/>
      <c r="AN24" s="518"/>
      <c r="AO24" s="364">
        <v>4</v>
      </c>
      <c r="AP24" s="365" t="s">
        <v>295</v>
      </c>
      <c r="AQ24" s="366">
        <v>0</v>
      </c>
      <c r="AR24" s="367">
        <v>28</v>
      </c>
      <c r="AS24" s="367">
        <v>0</v>
      </c>
      <c r="AT24" s="368">
        <v>0</v>
      </c>
      <c r="AU24" s="365">
        <v>0</v>
      </c>
      <c r="AV24" s="365" t="s">
        <v>7</v>
      </c>
      <c r="AW24" s="187">
        <f>AO24*25-AQ24-AR24-AS24-AT24-AU24</f>
        <v>72</v>
      </c>
    </row>
    <row r="25" spans="1:49" s="61" customFormat="1" ht="21" customHeight="1" thickTop="1" x14ac:dyDescent="0.25">
      <c r="A25" s="513" t="s">
        <v>56</v>
      </c>
      <c r="B25" s="549" t="s">
        <v>311</v>
      </c>
      <c r="C25" s="550"/>
      <c r="D25" s="550"/>
      <c r="E25" s="550"/>
      <c r="F25" s="550"/>
      <c r="G25" s="550"/>
      <c r="H25" s="550"/>
      <c r="I25" s="550"/>
      <c r="J25" s="550"/>
      <c r="K25" s="550"/>
      <c r="L25" s="550"/>
      <c r="M25" s="551"/>
      <c r="N25" s="549" t="s">
        <v>340</v>
      </c>
      <c r="O25" s="550"/>
      <c r="P25" s="550"/>
      <c r="Q25" s="550"/>
      <c r="R25" s="550"/>
      <c r="S25" s="550"/>
      <c r="T25" s="550"/>
      <c r="U25" s="550"/>
      <c r="V25" s="550"/>
      <c r="W25" s="550"/>
      <c r="X25" s="550"/>
      <c r="Y25" s="551"/>
      <c r="Z25" s="549" t="s">
        <v>318</v>
      </c>
      <c r="AA25" s="550"/>
      <c r="AB25" s="550"/>
      <c r="AC25" s="550"/>
      <c r="AD25" s="550"/>
      <c r="AE25" s="550"/>
      <c r="AF25" s="550"/>
      <c r="AG25" s="550"/>
      <c r="AH25" s="550"/>
      <c r="AI25" s="550"/>
      <c r="AJ25" s="550"/>
      <c r="AK25" s="551"/>
      <c r="AL25" s="549" t="s">
        <v>320</v>
      </c>
      <c r="AM25" s="550"/>
      <c r="AN25" s="550"/>
      <c r="AO25" s="550"/>
      <c r="AP25" s="550"/>
      <c r="AQ25" s="550"/>
      <c r="AR25" s="550"/>
      <c r="AS25" s="550"/>
      <c r="AT25" s="550"/>
      <c r="AU25" s="550"/>
      <c r="AV25" s="550"/>
      <c r="AW25" s="551"/>
    </row>
    <row r="26" spans="1:49" s="61" customFormat="1" ht="21" customHeight="1" x14ac:dyDescent="0.25">
      <c r="A26" s="514"/>
      <c r="B26" s="552"/>
      <c r="C26" s="553"/>
      <c r="D26" s="553"/>
      <c r="E26" s="553"/>
      <c r="F26" s="553"/>
      <c r="G26" s="553"/>
      <c r="H26" s="553"/>
      <c r="I26" s="553"/>
      <c r="J26" s="553"/>
      <c r="K26" s="553"/>
      <c r="L26" s="553"/>
      <c r="M26" s="554"/>
      <c r="N26" s="552"/>
      <c r="O26" s="553"/>
      <c r="P26" s="553"/>
      <c r="Q26" s="553"/>
      <c r="R26" s="553"/>
      <c r="S26" s="553"/>
      <c r="T26" s="553"/>
      <c r="U26" s="553"/>
      <c r="V26" s="553"/>
      <c r="W26" s="553"/>
      <c r="X26" s="553"/>
      <c r="Y26" s="554"/>
      <c r="Z26" s="552"/>
      <c r="AA26" s="553"/>
      <c r="AB26" s="553"/>
      <c r="AC26" s="553"/>
      <c r="AD26" s="553"/>
      <c r="AE26" s="553"/>
      <c r="AF26" s="553"/>
      <c r="AG26" s="553"/>
      <c r="AH26" s="553"/>
      <c r="AI26" s="553"/>
      <c r="AJ26" s="553"/>
      <c r="AK26" s="554"/>
      <c r="AL26" s="552"/>
      <c r="AM26" s="553"/>
      <c r="AN26" s="553"/>
      <c r="AO26" s="553"/>
      <c r="AP26" s="553"/>
      <c r="AQ26" s="553"/>
      <c r="AR26" s="553"/>
      <c r="AS26" s="553"/>
      <c r="AT26" s="553"/>
      <c r="AU26" s="553"/>
      <c r="AV26" s="553"/>
      <c r="AW26" s="554"/>
    </row>
    <row r="27" spans="1:49" s="61" customFormat="1" ht="21" customHeight="1" thickBot="1" x14ac:dyDescent="0.3">
      <c r="A27" s="515"/>
      <c r="B27" s="516" t="str">
        <f>IF(ISBLANK(B25),"",CONCATENATE($E$12,$F$12,".",$G$12,".","0",RIGHT($B$18,1),".",RIGHT(L27,1),$A25,IF(COUNTIFS(B25,"*op?ional*")=1,"-ij","")))</f>
        <v>L420.19.01.F3</v>
      </c>
      <c r="C27" s="517"/>
      <c r="D27" s="518"/>
      <c r="E27" s="364">
        <v>5</v>
      </c>
      <c r="F27" s="365" t="s">
        <v>5</v>
      </c>
      <c r="G27" s="366">
        <v>0</v>
      </c>
      <c r="H27" s="367">
        <v>14</v>
      </c>
      <c r="I27" s="367">
        <v>14</v>
      </c>
      <c r="J27" s="368">
        <v>0</v>
      </c>
      <c r="K27" s="365">
        <v>0</v>
      </c>
      <c r="L27" s="427" t="s">
        <v>46</v>
      </c>
      <c r="M27" s="187">
        <f>E27*25-G27-H27-I27-J27-K27</f>
        <v>97</v>
      </c>
      <c r="N27" s="516" t="str">
        <f>IF(ISBLANK(N25),"",CONCATENATE($E$12,$F$12,".",$G$12,".","0",RIGHT($N$18,1),".",RIGHT(X27,1),$A25,IF(COUNTIFS(N25,"*op?ional*")=1,"-ij","")))</f>
        <v>L420.19.02.D3</v>
      </c>
      <c r="O27" s="517"/>
      <c r="P27" s="518"/>
      <c r="Q27" s="364">
        <v>5</v>
      </c>
      <c r="R27" s="365" t="s">
        <v>5</v>
      </c>
      <c r="S27" s="366">
        <v>0</v>
      </c>
      <c r="T27" s="367">
        <v>0</v>
      </c>
      <c r="U27" s="367">
        <v>28</v>
      </c>
      <c r="V27" s="368">
        <v>0</v>
      </c>
      <c r="W27" s="365">
        <v>0</v>
      </c>
      <c r="X27" s="365" t="s">
        <v>54</v>
      </c>
      <c r="Y27" s="187">
        <f>Q27*25-S27-T27-U27-V27-W27</f>
        <v>97</v>
      </c>
      <c r="Z27" s="516" t="str">
        <f>IF(ISBLANK(Z25),"",CONCATENATE($E$12,$F$12,".",$G$12,".","0",RIGHT($Z$18,1),".",RIGHT(AJ27,1),$A25,IF(COUNTIFS(Z25,"*op?ional*")=1,"-ij","")))</f>
        <v>L420.19.03.D3</v>
      </c>
      <c r="AA27" s="517"/>
      <c r="AB27" s="518"/>
      <c r="AC27" s="364">
        <v>4</v>
      </c>
      <c r="AD27" s="365" t="s">
        <v>5</v>
      </c>
      <c r="AE27" s="366">
        <v>0</v>
      </c>
      <c r="AF27" s="367">
        <v>14</v>
      </c>
      <c r="AG27" s="367">
        <v>14</v>
      </c>
      <c r="AH27" s="368">
        <v>0</v>
      </c>
      <c r="AI27" s="365">
        <v>0</v>
      </c>
      <c r="AJ27" s="365" t="s">
        <v>54</v>
      </c>
      <c r="AK27" s="187">
        <f>AC27*25-AE27-AF27-AG27-AH27-AI27</f>
        <v>72</v>
      </c>
      <c r="AL27" s="516" t="str">
        <f>IF(ISBLANK(AL25), "",CONCATENATE($E$12,$F$12,".",$G$12,".","0",RIGHT($AL$18,1),".",RIGHT(AV27,1),$A25,IF(COUNTIFS(AL25,"*op?ional*")=1,"-ij","")))</f>
        <v>L420.19.04.D3</v>
      </c>
      <c r="AM27" s="517"/>
      <c r="AN27" s="518"/>
      <c r="AO27" s="364">
        <v>5</v>
      </c>
      <c r="AP27" s="365" t="s">
        <v>5</v>
      </c>
      <c r="AQ27" s="366">
        <v>0</v>
      </c>
      <c r="AR27" s="367">
        <v>28</v>
      </c>
      <c r="AS27" s="367">
        <v>14</v>
      </c>
      <c r="AT27" s="368">
        <v>0</v>
      </c>
      <c r="AU27" s="365">
        <v>0</v>
      </c>
      <c r="AV27" s="365" t="s">
        <v>54</v>
      </c>
      <c r="AW27" s="187">
        <f>AO27*25-AQ27-AR27-AS27-AT27-AU27</f>
        <v>83</v>
      </c>
    </row>
    <row r="28" spans="1:49" s="61" customFormat="1" ht="21" customHeight="1" thickTop="1" x14ac:dyDescent="0.25">
      <c r="A28" s="513" t="s">
        <v>57</v>
      </c>
      <c r="B28" s="549" t="s">
        <v>337</v>
      </c>
      <c r="C28" s="550"/>
      <c r="D28" s="550"/>
      <c r="E28" s="550"/>
      <c r="F28" s="550"/>
      <c r="G28" s="550"/>
      <c r="H28" s="550"/>
      <c r="I28" s="550"/>
      <c r="J28" s="550"/>
      <c r="K28" s="550"/>
      <c r="L28" s="550"/>
      <c r="M28" s="551"/>
      <c r="N28" s="549" t="s">
        <v>341</v>
      </c>
      <c r="O28" s="550"/>
      <c r="P28" s="550"/>
      <c r="Q28" s="550"/>
      <c r="R28" s="550"/>
      <c r="S28" s="550"/>
      <c r="T28" s="550"/>
      <c r="U28" s="550"/>
      <c r="V28" s="550"/>
      <c r="W28" s="550"/>
      <c r="X28" s="550"/>
      <c r="Y28" s="551"/>
      <c r="Z28" s="549" t="s">
        <v>346</v>
      </c>
      <c r="AA28" s="550"/>
      <c r="AB28" s="550"/>
      <c r="AC28" s="550"/>
      <c r="AD28" s="550"/>
      <c r="AE28" s="550"/>
      <c r="AF28" s="550"/>
      <c r="AG28" s="550"/>
      <c r="AH28" s="550"/>
      <c r="AI28" s="550"/>
      <c r="AJ28" s="550"/>
      <c r="AK28" s="551"/>
      <c r="AL28" s="549" t="s">
        <v>352</v>
      </c>
      <c r="AM28" s="550"/>
      <c r="AN28" s="550"/>
      <c r="AO28" s="550"/>
      <c r="AP28" s="550"/>
      <c r="AQ28" s="550"/>
      <c r="AR28" s="550"/>
      <c r="AS28" s="550"/>
      <c r="AT28" s="550"/>
      <c r="AU28" s="550"/>
      <c r="AV28" s="550"/>
      <c r="AW28" s="551"/>
    </row>
    <row r="29" spans="1:49" s="61" customFormat="1" ht="21" customHeight="1" x14ac:dyDescent="0.25">
      <c r="A29" s="514"/>
      <c r="B29" s="552"/>
      <c r="C29" s="553"/>
      <c r="D29" s="553"/>
      <c r="E29" s="553"/>
      <c r="F29" s="553"/>
      <c r="G29" s="553"/>
      <c r="H29" s="553"/>
      <c r="I29" s="553"/>
      <c r="J29" s="553"/>
      <c r="K29" s="553"/>
      <c r="L29" s="553"/>
      <c r="M29" s="554"/>
      <c r="N29" s="552"/>
      <c r="O29" s="553"/>
      <c r="P29" s="553"/>
      <c r="Q29" s="553"/>
      <c r="R29" s="553"/>
      <c r="S29" s="553"/>
      <c r="T29" s="553"/>
      <c r="U29" s="553"/>
      <c r="V29" s="553"/>
      <c r="W29" s="553"/>
      <c r="X29" s="553"/>
      <c r="Y29" s="554"/>
      <c r="Z29" s="552"/>
      <c r="AA29" s="553"/>
      <c r="AB29" s="553"/>
      <c r="AC29" s="553"/>
      <c r="AD29" s="553"/>
      <c r="AE29" s="553"/>
      <c r="AF29" s="553"/>
      <c r="AG29" s="553"/>
      <c r="AH29" s="553"/>
      <c r="AI29" s="553"/>
      <c r="AJ29" s="553"/>
      <c r="AK29" s="554"/>
      <c r="AL29" s="552"/>
      <c r="AM29" s="553"/>
      <c r="AN29" s="553"/>
      <c r="AO29" s="553"/>
      <c r="AP29" s="553"/>
      <c r="AQ29" s="553"/>
      <c r="AR29" s="553"/>
      <c r="AS29" s="553"/>
      <c r="AT29" s="553"/>
      <c r="AU29" s="553"/>
      <c r="AV29" s="553"/>
      <c r="AW29" s="554"/>
    </row>
    <row r="30" spans="1:49" s="61" customFormat="1" ht="21" customHeight="1" thickBot="1" x14ac:dyDescent="0.3">
      <c r="A30" s="515"/>
      <c r="B30" s="516" t="str">
        <f>IF(ISBLANK(B28),"",CONCATENATE($E$12,$F$12,".",$G$12,".","0",RIGHT($B$18,1),".",RIGHT(L30,1),$A28,IF(COUNTIFS(B28,"*op?ional*")=1,"-ij","")))</f>
        <v>L420.19.01.D4</v>
      </c>
      <c r="C30" s="517"/>
      <c r="D30" s="518"/>
      <c r="E30" s="364">
        <v>5</v>
      </c>
      <c r="F30" s="365" t="s">
        <v>295</v>
      </c>
      <c r="G30" s="366">
        <v>0</v>
      </c>
      <c r="H30" s="367">
        <v>0</v>
      </c>
      <c r="I30" s="367">
        <v>35</v>
      </c>
      <c r="J30" s="368">
        <v>0</v>
      </c>
      <c r="K30" s="365">
        <v>0</v>
      </c>
      <c r="L30" s="427" t="s">
        <v>54</v>
      </c>
      <c r="M30" s="187">
        <f>E30*25-G30-H30-I30-J30-K30</f>
        <v>90</v>
      </c>
      <c r="N30" s="516" t="str">
        <f>IF(ISBLANK(N28),"",CONCATENATE($E$12,$F$12,".",$G$12,".","0",RIGHT($N$18,1),".",RIGHT(X30,1),$A28,IF(COUNTIFS(N28,"*op?ional*")=1,"-ij","")))</f>
        <v>L420.19.02.D4</v>
      </c>
      <c r="O30" s="517"/>
      <c r="P30" s="518"/>
      <c r="Q30" s="364">
        <v>5</v>
      </c>
      <c r="R30" s="365" t="s">
        <v>5</v>
      </c>
      <c r="S30" s="366">
        <v>0</v>
      </c>
      <c r="T30" s="367">
        <v>28</v>
      </c>
      <c r="U30" s="367">
        <v>0</v>
      </c>
      <c r="V30" s="368">
        <v>0</v>
      </c>
      <c r="W30" s="365">
        <v>0</v>
      </c>
      <c r="X30" s="365" t="s">
        <v>54</v>
      </c>
      <c r="Y30" s="187">
        <f>Q30*25-S30-T30-U30-V30-W30</f>
        <v>97</v>
      </c>
      <c r="Z30" s="516" t="str">
        <f>IF(ISBLANK(Z28),"",CONCATENATE($E$12,$F$12,".",$G$12,".","0",RIGHT($Z$18,1),".",RIGHT(AJ30,1),$A28,IF(COUNTIFS(Z28,"*op?ional*")=1,"-ij","")))</f>
        <v>L420.19.03.F4</v>
      </c>
      <c r="AA30" s="517"/>
      <c r="AB30" s="518"/>
      <c r="AC30" s="364">
        <v>3</v>
      </c>
      <c r="AD30" s="365" t="s">
        <v>295</v>
      </c>
      <c r="AE30" s="366">
        <v>0</v>
      </c>
      <c r="AF30" s="367">
        <v>0</v>
      </c>
      <c r="AG30" s="367">
        <v>28</v>
      </c>
      <c r="AH30" s="368">
        <v>0</v>
      </c>
      <c r="AI30" s="365">
        <v>0</v>
      </c>
      <c r="AJ30" s="365" t="s">
        <v>46</v>
      </c>
      <c r="AK30" s="187">
        <f>AC30*25-AE30-AF30-AG30-AH30-AI30</f>
        <v>47</v>
      </c>
      <c r="AL30" s="516" t="str">
        <f>IF(ISBLANK(AL28), "",CONCATENATE($E$12,$F$12,".",$G$12,".","0",RIGHT($AL$18,1),".",RIGHT(AV30,1),$A28,IF(COUNTIFS(AL28,"*op?ional*")=1,"-ij","")))</f>
        <v>L420.19.04.D4</v>
      </c>
      <c r="AM30" s="517"/>
      <c r="AN30" s="518"/>
      <c r="AO30" s="364">
        <v>3</v>
      </c>
      <c r="AP30" s="365" t="s">
        <v>295</v>
      </c>
      <c r="AQ30" s="366">
        <v>0</v>
      </c>
      <c r="AR30" s="367">
        <v>0</v>
      </c>
      <c r="AS30" s="367">
        <v>14</v>
      </c>
      <c r="AT30" s="368">
        <v>0</v>
      </c>
      <c r="AU30" s="365">
        <v>0</v>
      </c>
      <c r="AV30" s="365" t="s">
        <v>54</v>
      </c>
      <c r="AW30" s="187">
        <f>AO30*25-AQ30-AR30-AS30-AT30-AU30</f>
        <v>61</v>
      </c>
    </row>
    <row r="31" spans="1:49" s="61" customFormat="1" ht="21" customHeight="1" thickTop="1" x14ac:dyDescent="0.25">
      <c r="A31" s="513" t="s">
        <v>58</v>
      </c>
      <c r="B31" s="549" t="s">
        <v>312</v>
      </c>
      <c r="C31" s="550"/>
      <c r="D31" s="550"/>
      <c r="E31" s="550"/>
      <c r="F31" s="550"/>
      <c r="G31" s="550"/>
      <c r="H31" s="550"/>
      <c r="I31" s="550"/>
      <c r="J31" s="550"/>
      <c r="K31" s="550"/>
      <c r="L31" s="550"/>
      <c r="M31" s="551"/>
      <c r="N31" s="549" t="s">
        <v>342</v>
      </c>
      <c r="O31" s="550"/>
      <c r="P31" s="550"/>
      <c r="Q31" s="550"/>
      <c r="R31" s="550"/>
      <c r="S31" s="550"/>
      <c r="T31" s="550"/>
      <c r="U31" s="550"/>
      <c r="V31" s="550"/>
      <c r="W31" s="550"/>
      <c r="X31" s="550"/>
      <c r="Y31" s="551"/>
      <c r="Z31" s="549" t="s">
        <v>347</v>
      </c>
      <c r="AA31" s="550"/>
      <c r="AB31" s="550"/>
      <c r="AC31" s="550"/>
      <c r="AD31" s="550"/>
      <c r="AE31" s="550"/>
      <c r="AF31" s="550"/>
      <c r="AG31" s="550"/>
      <c r="AH31" s="550"/>
      <c r="AI31" s="550"/>
      <c r="AJ31" s="550"/>
      <c r="AK31" s="551"/>
      <c r="AL31" s="549" t="s">
        <v>353</v>
      </c>
      <c r="AM31" s="550"/>
      <c r="AN31" s="550"/>
      <c r="AO31" s="550"/>
      <c r="AP31" s="550"/>
      <c r="AQ31" s="550"/>
      <c r="AR31" s="550"/>
      <c r="AS31" s="550"/>
      <c r="AT31" s="550"/>
      <c r="AU31" s="550"/>
      <c r="AV31" s="550"/>
      <c r="AW31" s="551"/>
    </row>
    <row r="32" spans="1:49" s="61" customFormat="1" ht="21" customHeight="1" x14ac:dyDescent="0.25">
      <c r="A32" s="514"/>
      <c r="B32" s="552"/>
      <c r="C32" s="553"/>
      <c r="D32" s="553"/>
      <c r="E32" s="553"/>
      <c r="F32" s="553"/>
      <c r="G32" s="553"/>
      <c r="H32" s="553"/>
      <c r="I32" s="553"/>
      <c r="J32" s="553"/>
      <c r="K32" s="553"/>
      <c r="L32" s="553"/>
      <c r="M32" s="554"/>
      <c r="N32" s="552"/>
      <c r="O32" s="553"/>
      <c r="P32" s="553"/>
      <c r="Q32" s="553"/>
      <c r="R32" s="553"/>
      <c r="S32" s="553"/>
      <c r="T32" s="553"/>
      <c r="U32" s="553"/>
      <c r="V32" s="553"/>
      <c r="W32" s="553"/>
      <c r="X32" s="553"/>
      <c r="Y32" s="554"/>
      <c r="Z32" s="552"/>
      <c r="AA32" s="553"/>
      <c r="AB32" s="553"/>
      <c r="AC32" s="553"/>
      <c r="AD32" s="553"/>
      <c r="AE32" s="553"/>
      <c r="AF32" s="553"/>
      <c r="AG32" s="553"/>
      <c r="AH32" s="553"/>
      <c r="AI32" s="553"/>
      <c r="AJ32" s="553"/>
      <c r="AK32" s="554"/>
      <c r="AL32" s="552"/>
      <c r="AM32" s="553"/>
      <c r="AN32" s="553"/>
      <c r="AO32" s="553"/>
      <c r="AP32" s="553"/>
      <c r="AQ32" s="553"/>
      <c r="AR32" s="553"/>
      <c r="AS32" s="553"/>
      <c r="AT32" s="553"/>
      <c r="AU32" s="553"/>
      <c r="AV32" s="553"/>
      <c r="AW32" s="554"/>
    </row>
    <row r="33" spans="1:53" s="61" customFormat="1" ht="21" customHeight="1" thickBot="1" x14ac:dyDescent="0.3">
      <c r="A33" s="515"/>
      <c r="B33" s="516" t="str">
        <f>IF(ISBLANK(B31),"",CONCATENATE($E$12,$F$12,".",$G$12,".","0",RIGHT($B$18,1),".",RIGHT(L33,1),$A31,IF(COUNTIFS(B31,"*op?ional*")=1,"-ij","")))</f>
        <v>L420.19.01.F5</v>
      </c>
      <c r="C33" s="517"/>
      <c r="D33" s="518"/>
      <c r="E33" s="364">
        <v>5</v>
      </c>
      <c r="F33" s="365" t="s">
        <v>295</v>
      </c>
      <c r="G33" s="366">
        <v>0</v>
      </c>
      <c r="H33" s="367">
        <v>0</v>
      </c>
      <c r="I33" s="367">
        <v>35</v>
      </c>
      <c r="J33" s="368">
        <v>0</v>
      </c>
      <c r="K33" s="365">
        <v>0</v>
      </c>
      <c r="L33" s="427" t="s">
        <v>46</v>
      </c>
      <c r="M33" s="187">
        <f>E33*25-G33-H33-I33-J33-K33</f>
        <v>90</v>
      </c>
      <c r="N33" s="516" t="str">
        <f>IF(ISBLANK(N31),"",CONCATENATE($E$12,$F$12,".",$G$12,".","0",RIGHT($N$18,1),".",RIGHT(X33,1),$A31,IF(COUNTIFS(N31,"*op?ional*")=1,"-ij","")))</f>
        <v>L420.19.02.D5</v>
      </c>
      <c r="O33" s="517"/>
      <c r="P33" s="518"/>
      <c r="Q33" s="364">
        <v>5</v>
      </c>
      <c r="R33" s="365" t="s">
        <v>5</v>
      </c>
      <c r="S33" s="366">
        <v>0</v>
      </c>
      <c r="T33" s="367">
        <v>0</v>
      </c>
      <c r="U33" s="367">
        <v>28</v>
      </c>
      <c r="V33" s="368">
        <v>0</v>
      </c>
      <c r="W33" s="365">
        <v>0</v>
      </c>
      <c r="X33" s="365" t="s">
        <v>54</v>
      </c>
      <c r="Y33" s="187">
        <f>Q33*25-S33-T33-U33-V33-W33</f>
        <v>97</v>
      </c>
      <c r="Z33" s="516" t="str">
        <f>IF(ISBLANK(Z31),"",CONCATENATE($E$12,$F$12,".",$G$12,".","0",RIGHT($Z$18,1),".",RIGHT(AJ33,1),$A31,IF(COUNTIFS(Z31,"*op?ional*")=1,"-ij","")))</f>
        <v>L420.19.03.F5</v>
      </c>
      <c r="AA33" s="517"/>
      <c r="AB33" s="518"/>
      <c r="AC33" s="364">
        <v>3</v>
      </c>
      <c r="AD33" s="365" t="s">
        <v>295</v>
      </c>
      <c r="AE33" s="366">
        <v>0</v>
      </c>
      <c r="AF33" s="367">
        <v>0</v>
      </c>
      <c r="AG33" s="367">
        <v>28</v>
      </c>
      <c r="AH33" s="368">
        <v>0</v>
      </c>
      <c r="AI33" s="365">
        <v>0</v>
      </c>
      <c r="AJ33" s="365" t="s">
        <v>46</v>
      </c>
      <c r="AK33" s="187">
        <f>AC33*25-AE33-AF33-AG33-AH33-AI33</f>
        <v>47</v>
      </c>
      <c r="AL33" s="516" t="str">
        <f>IF(ISBLANK(AL31), "",CONCATENATE($E$12,$F$12,".",$G$12,".","0",RIGHT($AL$18,1),".",RIGHT(AV33,1),$A31,IF(COUNTIFS(AL31,"*op?ional*")=1,"-ij","")))</f>
        <v>L420.19.04.D5</v>
      </c>
      <c r="AM33" s="517"/>
      <c r="AN33" s="518"/>
      <c r="AO33" s="364">
        <v>5</v>
      </c>
      <c r="AP33" s="365" t="s">
        <v>5</v>
      </c>
      <c r="AQ33" s="366">
        <v>0</v>
      </c>
      <c r="AR33" s="367">
        <v>0</v>
      </c>
      <c r="AS33" s="367">
        <v>28</v>
      </c>
      <c r="AT33" s="368">
        <v>0</v>
      </c>
      <c r="AU33" s="365">
        <v>0</v>
      </c>
      <c r="AV33" s="365" t="s">
        <v>54</v>
      </c>
      <c r="AW33" s="187">
        <f>AO33*25-AQ33-AR33-AS33-AT33-AU33</f>
        <v>97</v>
      </c>
    </row>
    <row r="34" spans="1:53" s="61" customFormat="1" ht="21" customHeight="1" thickTop="1" x14ac:dyDescent="0.25">
      <c r="A34" s="513" t="s">
        <v>60</v>
      </c>
      <c r="B34" s="549" t="s">
        <v>338</v>
      </c>
      <c r="C34" s="550"/>
      <c r="D34" s="550"/>
      <c r="E34" s="550"/>
      <c r="F34" s="550"/>
      <c r="G34" s="550"/>
      <c r="H34" s="550"/>
      <c r="I34" s="550"/>
      <c r="J34" s="550"/>
      <c r="K34" s="550"/>
      <c r="L34" s="550"/>
      <c r="M34" s="551"/>
      <c r="N34" s="549" t="s">
        <v>343</v>
      </c>
      <c r="O34" s="550"/>
      <c r="P34" s="550"/>
      <c r="Q34" s="550"/>
      <c r="R34" s="550"/>
      <c r="S34" s="550"/>
      <c r="T34" s="550"/>
      <c r="U34" s="550"/>
      <c r="V34" s="550"/>
      <c r="W34" s="550"/>
      <c r="X34" s="550"/>
      <c r="Y34" s="551"/>
      <c r="Z34" s="549" t="s">
        <v>348</v>
      </c>
      <c r="AA34" s="550"/>
      <c r="AB34" s="550"/>
      <c r="AC34" s="550"/>
      <c r="AD34" s="550"/>
      <c r="AE34" s="550"/>
      <c r="AF34" s="550"/>
      <c r="AG34" s="550"/>
      <c r="AH34" s="550"/>
      <c r="AI34" s="550"/>
      <c r="AJ34" s="550"/>
      <c r="AK34" s="551"/>
      <c r="AL34" s="549" t="s">
        <v>354</v>
      </c>
      <c r="AM34" s="550"/>
      <c r="AN34" s="550"/>
      <c r="AO34" s="550"/>
      <c r="AP34" s="550"/>
      <c r="AQ34" s="550"/>
      <c r="AR34" s="550"/>
      <c r="AS34" s="550"/>
      <c r="AT34" s="550"/>
      <c r="AU34" s="550"/>
      <c r="AV34" s="550"/>
      <c r="AW34" s="551"/>
    </row>
    <row r="35" spans="1:53" s="61" customFormat="1" ht="21" customHeight="1" x14ac:dyDescent="0.25">
      <c r="A35" s="514"/>
      <c r="B35" s="552"/>
      <c r="C35" s="553"/>
      <c r="D35" s="553"/>
      <c r="E35" s="553"/>
      <c r="F35" s="553"/>
      <c r="G35" s="553"/>
      <c r="H35" s="553"/>
      <c r="I35" s="553"/>
      <c r="J35" s="553"/>
      <c r="K35" s="553"/>
      <c r="L35" s="553"/>
      <c r="M35" s="554"/>
      <c r="N35" s="552"/>
      <c r="O35" s="553"/>
      <c r="P35" s="553"/>
      <c r="Q35" s="553"/>
      <c r="R35" s="553"/>
      <c r="S35" s="553"/>
      <c r="T35" s="553"/>
      <c r="U35" s="553"/>
      <c r="V35" s="553"/>
      <c r="W35" s="553"/>
      <c r="X35" s="553"/>
      <c r="Y35" s="554"/>
      <c r="Z35" s="552"/>
      <c r="AA35" s="553"/>
      <c r="AB35" s="553"/>
      <c r="AC35" s="553"/>
      <c r="AD35" s="553"/>
      <c r="AE35" s="553"/>
      <c r="AF35" s="553"/>
      <c r="AG35" s="553"/>
      <c r="AH35" s="553"/>
      <c r="AI35" s="553"/>
      <c r="AJ35" s="553"/>
      <c r="AK35" s="554"/>
      <c r="AL35" s="552"/>
      <c r="AM35" s="553"/>
      <c r="AN35" s="553"/>
      <c r="AO35" s="553"/>
      <c r="AP35" s="553"/>
      <c r="AQ35" s="553"/>
      <c r="AR35" s="553"/>
      <c r="AS35" s="553"/>
      <c r="AT35" s="553"/>
      <c r="AU35" s="553"/>
      <c r="AV35" s="553"/>
      <c r="AW35" s="554"/>
    </row>
    <row r="36" spans="1:53" s="61" customFormat="1" ht="21" customHeight="1" thickBot="1" x14ac:dyDescent="0.3">
      <c r="A36" s="515"/>
      <c r="B36" s="516" t="str">
        <f>IF(ISBLANK(B34),"",CONCATENATE($E$12,$F$12,".",$G$12,".","0",RIGHT($B$18,1),".",RIGHT(L36,1),$A34,IF(COUNTIFS(B34,"*op?ional*")=1,"-ij","")))</f>
        <v>L420.19.01.F6</v>
      </c>
      <c r="C36" s="517"/>
      <c r="D36" s="518"/>
      <c r="E36" s="364">
        <v>3</v>
      </c>
      <c r="F36" s="365" t="s">
        <v>5</v>
      </c>
      <c r="G36" s="366">
        <v>0</v>
      </c>
      <c r="H36" s="367">
        <v>0</v>
      </c>
      <c r="I36" s="367">
        <v>14</v>
      </c>
      <c r="J36" s="368">
        <v>0</v>
      </c>
      <c r="K36" s="365">
        <v>0</v>
      </c>
      <c r="L36" s="427" t="s">
        <v>46</v>
      </c>
      <c r="M36" s="187">
        <f>E36*25-G36-H36-I36-J36-K36</f>
        <v>61</v>
      </c>
      <c r="N36" s="516" t="str">
        <f>IF(ISBLANK(N34),"",CONCATENATE($E$12,$F$12,".",$G$12,".","0",RIGHT($N$18,1),".",RIGHT(X36,1),$A34,IF(COUNTIFS(N34,"*op?ional*")=1,"-ij","")))</f>
        <v>L420.19.02.C6</v>
      </c>
      <c r="O36" s="517"/>
      <c r="P36" s="518"/>
      <c r="Q36" s="364">
        <v>2</v>
      </c>
      <c r="R36" s="365" t="s">
        <v>295</v>
      </c>
      <c r="S36" s="366">
        <v>0</v>
      </c>
      <c r="T36" s="367">
        <v>14</v>
      </c>
      <c r="U36" s="367">
        <v>0</v>
      </c>
      <c r="V36" s="368">
        <v>0</v>
      </c>
      <c r="W36" s="365">
        <v>0</v>
      </c>
      <c r="X36" s="365" t="s">
        <v>7</v>
      </c>
      <c r="Y36" s="187">
        <f>Q36*25-S36-T36-U36-V36-W36</f>
        <v>36</v>
      </c>
      <c r="Z36" s="516" t="str">
        <f>IF(ISBLANK(Z34),"",CONCATENATE($E$12,$F$12,".",$G$12,".","0",RIGHT($Z$18,1),".",RIGHT(AJ36,1),$A34,IF(COUNTIFS(Z34,"*op?ional*")=1,"-ij","")))</f>
        <v>L420.19.03.D6</v>
      </c>
      <c r="AA36" s="517"/>
      <c r="AB36" s="518"/>
      <c r="AC36" s="364">
        <v>4</v>
      </c>
      <c r="AD36" s="365" t="s">
        <v>5</v>
      </c>
      <c r="AE36" s="366">
        <v>0</v>
      </c>
      <c r="AF36" s="367">
        <v>0</v>
      </c>
      <c r="AG36" s="367">
        <v>14</v>
      </c>
      <c r="AH36" s="368">
        <v>0</v>
      </c>
      <c r="AI36" s="365">
        <v>0</v>
      </c>
      <c r="AJ36" s="365" t="s">
        <v>54</v>
      </c>
      <c r="AK36" s="187">
        <f>AC36*25-AE36-AF36-AG36-AH36-AI36</f>
        <v>86</v>
      </c>
      <c r="AL36" s="516" t="str">
        <f>IF(ISBLANK(AL34), "",CONCATENATE($E$12,$F$12,".",$G$12,".","0",RIGHT($AL$18,1),".",RIGHT(AV36,1),$A34,IF(COUNTIFS(AL34,"*op?ional*")=1,"-ij","")))</f>
        <v>L420.19.04.D6</v>
      </c>
      <c r="AM36" s="517"/>
      <c r="AN36" s="518"/>
      <c r="AO36" s="364">
        <v>5</v>
      </c>
      <c r="AP36" s="365" t="s">
        <v>5</v>
      </c>
      <c r="AQ36" s="366">
        <v>0</v>
      </c>
      <c r="AR36" s="367">
        <v>0</v>
      </c>
      <c r="AS36" s="367">
        <v>14</v>
      </c>
      <c r="AT36" s="368">
        <v>0</v>
      </c>
      <c r="AU36" s="365">
        <v>0</v>
      </c>
      <c r="AV36" s="365" t="s">
        <v>54</v>
      </c>
      <c r="AW36" s="187">
        <f>AO36*25-AQ36-AR36-AS36-AT36-AU36</f>
        <v>111</v>
      </c>
    </row>
    <row r="37" spans="1:53" s="61" customFormat="1" ht="21" customHeight="1" thickTop="1" x14ac:dyDescent="0.25">
      <c r="A37" s="513" t="s">
        <v>61</v>
      </c>
      <c r="B37" s="549" t="s">
        <v>313</v>
      </c>
      <c r="C37" s="550"/>
      <c r="D37" s="550"/>
      <c r="E37" s="550"/>
      <c r="F37" s="550"/>
      <c r="G37" s="550"/>
      <c r="H37" s="550"/>
      <c r="I37" s="550"/>
      <c r="J37" s="550"/>
      <c r="K37" s="550"/>
      <c r="L37" s="550"/>
      <c r="M37" s="551"/>
      <c r="N37" s="549" t="s">
        <v>316</v>
      </c>
      <c r="O37" s="550"/>
      <c r="P37" s="550"/>
      <c r="Q37" s="550"/>
      <c r="R37" s="550"/>
      <c r="S37" s="550"/>
      <c r="T37" s="550"/>
      <c r="U37" s="550"/>
      <c r="V37" s="550"/>
      <c r="W37" s="550"/>
      <c r="X37" s="550"/>
      <c r="Y37" s="551"/>
      <c r="Z37" s="549" t="s">
        <v>349</v>
      </c>
      <c r="AA37" s="550"/>
      <c r="AB37" s="550"/>
      <c r="AC37" s="550"/>
      <c r="AD37" s="550"/>
      <c r="AE37" s="550"/>
      <c r="AF37" s="550"/>
      <c r="AG37" s="550"/>
      <c r="AH37" s="550"/>
      <c r="AI37" s="550"/>
      <c r="AJ37" s="550"/>
      <c r="AK37" s="551"/>
      <c r="AL37" s="549" t="s">
        <v>355</v>
      </c>
      <c r="AM37" s="550"/>
      <c r="AN37" s="550"/>
      <c r="AO37" s="550"/>
      <c r="AP37" s="550"/>
      <c r="AQ37" s="550"/>
      <c r="AR37" s="550"/>
      <c r="AS37" s="550"/>
      <c r="AT37" s="550"/>
      <c r="AU37" s="550"/>
      <c r="AV37" s="550"/>
      <c r="AW37" s="551"/>
    </row>
    <row r="38" spans="1:53" s="61" customFormat="1" ht="21" customHeight="1" x14ac:dyDescent="0.25">
      <c r="A38" s="514"/>
      <c r="B38" s="552"/>
      <c r="C38" s="553"/>
      <c r="D38" s="553"/>
      <c r="E38" s="553"/>
      <c r="F38" s="553"/>
      <c r="G38" s="553"/>
      <c r="H38" s="553"/>
      <c r="I38" s="553"/>
      <c r="J38" s="553"/>
      <c r="K38" s="553"/>
      <c r="L38" s="553"/>
      <c r="M38" s="554"/>
      <c r="N38" s="552"/>
      <c r="O38" s="553"/>
      <c r="P38" s="553"/>
      <c r="Q38" s="553"/>
      <c r="R38" s="553"/>
      <c r="S38" s="553"/>
      <c r="T38" s="553"/>
      <c r="U38" s="553"/>
      <c r="V38" s="553"/>
      <c r="W38" s="553"/>
      <c r="X38" s="553"/>
      <c r="Y38" s="554"/>
      <c r="Z38" s="552"/>
      <c r="AA38" s="553"/>
      <c r="AB38" s="553"/>
      <c r="AC38" s="553"/>
      <c r="AD38" s="553"/>
      <c r="AE38" s="553"/>
      <c r="AF38" s="553"/>
      <c r="AG38" s="553"/>
      <c r="AH38" s="553"/>
      <c r="AI38" s="553"/>
      <c r="AJ38" s="553"/>
      <c r="AK38" s="554"/>
      <c r="AL38" s="552"/>
      <c r="AM38" s="553"/>
      <c r="AN38" s="553"/>
      <c r="AO38" s="553"/>
      <c r="AP38" s="553"/>
      <c r="AQ38" s="553"/>
      <c r="AR38" s="553"/>
      <c r="AS38" s="553"/>
      <c r="AT38" s="553"/>
      <c r="AU38" s="553"/>
      <c r="AV38" s="553"/>
      <c r="AW38" s="554"/>
    </row>
    <row r="39" spans="1:53" s="61" customFormat="1" ht="21" customHeight="1" thickBot="1" x14ac:dyDescent="0.3">
      <c r="A39" s="515"/>
      <c r="B39" s="516" t="str">
        <f>IF(ISBLANK(B37),"",CONCATENATE($E$12,$F$12,".",$G$12,".","0",RIGHT($B$18,1),".",RIGHT(L39,1),$A37,IF(COUNTIFS(B37,"*op?ional*")=1,"-ij","")))</f>
        <v>L420.19.01.C7</v>
      </c>
      <c r="C39" s="517"/>
      <c r="D39" s="518"/>
      <c r="E39" s="364">
        <v>2</v>
      </c>
      <c r="F39" s="365" t="s">
        <v>295</v>
      </c>
      <c r="G39" s="366">
        <v>0</v>
      </c>
      <c r="H39" s="367">
        <v>28</v>
      </c>
      <c r="I39" s="367">
        <v>0</v>
      </c>
      <c r="J39" s="368">
        <v>0</v>
      </c>
      <c r="K39" s="365">
        <v>0</v>
      </c>
      <c r="L39" s="365" t="s">
        <v>7</v>
      </c>
      <c r="M39" s="187">
        <f>E39*25-G39-H39-I39-J39-K39</f>
        <v>22</v>
      </c>
      <c r="N39" s="516" t="str">
        <f>IF(ISBLANK(N37),"",CONCATENATE($E$12,$F$12,".",$G$12,".","0",RIGHT($N$18,1),".",RIGHT(X39,1),$A37,IF(COUNTIFS(N37,"*op?ional*")=1,"-ij","")))</f>
        <v>L420.19.02.C7</v>
      </c>
      <c r="O39" s="517"/>
      <c r="P39" s="518"/>
      <c r="Q39" s="364">
        <v>2</v>
      </c>
      <c r="R39" s="365" t="s">
        <v>295</v>
      </c>
      <c r="S39" s="366">
        <v>0</v>
      </c>
      <c r="T39" s="367">
        <v>28</v>
      </c>
      <c r="U39" s="367">
        <v>0</v>
      </c>
      <c r="V39" s="368">
        <v>0</v>
      </c>
      <c r="W39" s="365">
        <v>0</v>
      </c>
      <c r="X39" s="365" t="s">
        <v>7</v>
      </c>
      <c r="Y39" s="187">
        <f>Q39*25-S39-T39-U39-V39-W39</f>
        <v>22</v>
      </c>
      <c r="Z39" s="516" t="str">
        <f>IF(ISBLANK(Z37),"",CONCATENATE($E$12,$F$12,".",$G$12,".","0",RIGHT($Z$18,1),".",RIGHT(AJ39,1),$A37,IF(COUNTIFS(Z37,"*op?ional*")=1,"-ij","")))</f>
        <v>L420.19.03.D7</v>
      </c>
      <c r="AA39" s="517"/>
      <c r="AB39" s="518"/>
      <c r="AC39" s="364">
        <v>4</v>
      </c>
      <c r="AD39" s="365" t="s">
        <v>5</v>
      </c>
      <c r="AE39" s="366">
        <v>0</v>
      </c>
      <c r="AF39" s="367">
        <v>14</v>
      </c>
      <c r="AG39" s="367">
        <v>14</v>
      </c>
      <c r="AH39" s="368">
        <v>0</v>
      </c>
      <c r="AI39" s="365">
        <v>0</v>
      </c>
      <c r="AJ39" s="365" t="s">
        <v>54</v>
      </c>
      <c r="AK39" s="187">
        <f>AC39*25-AE39-AF39-AG39-AH39-AI39</f>
        <v>72</v>
      </c>
      <c r="AL39" s="516" t="str">
        <f>IF(ISBLANK(AL37), "",CONCATENATE($E$12,$F$12,".",$G$12,".","0",RIGHT($AL$18,1),".",RIGHT(AV39,1),$A37,IF(COUNTIFS(AL37,"*op?ional*")=1,"-ij","")))</f>
        <v>L420.19.04.D7</v>
      </c>
      <c r="AM39" s="517"/>
      <c r="AN39" s="518"/>
      <c r="AO39" s="364">
        <v>3</v>
      </c>
      <c r="AP39" s="365" t="s">
        <v>5</v>
      </c>
      <c r="AQ39" s="366">
        <v>0</v>
      </c>
      <c r="AR39" s="367">
        <v>14</v>
      </c>
      <c r="AS39" s="367">
        <v>14</v>
      </c>
      <c r="AT39" s="368">
        <v>0</v>
      </c>
      <c r="AU39" s="365">
        <v>0</v>
      </c>
      <c r="AV39" s="365" t="s">
        <v>54</v>
      </c>
      <c r="AW39" s="187">
        <f>AO39*25-AQ39-AR39-AS39-AT39-AU39</f>
        <v>47</v>
      </c>
    </row>
    <row r="40" spans="1:53" s="61" customFormat="1" ht="21" customHeight="1" thickTop="1" x14ac:dyDescent="0.25">
      <c r="A40" s="513" t="s">
        <v>62</v>
      </c>
      <c r="B40" s="549" t="s">
        <v>314</v>
      </c>
      <c r="C40" s="550"/>
      <c r="D40" s="550"/>
      <c r="E40" s="550"/>
      <c r="F40" s="550"/>
      <c r="G40" s="550"/>
      <c r="H40" s="550"/>
      <c r="I40" s="550"/>
      <c r="J40" s="550"/>
      <c r="K40" s="550"/>
      <c r="L40" s="550"/>
      <c r="M40" s="551"/>
      <c r="N40" s="549" t="s">
        <v>317</v>
      </c>
      <c r="O40" s="550"/>
      <c r="P40" s="550"/>
      <c r="Q40" s="550"/>
      <c r="R40" s="550"/>
      <c r="S40" s="550"/>
      <c r="T40" s="550"/>
      <c r="U40" s="550"/>
      <c r="V40" s="550"/>
      <c r="W40" s="550"/>
      <c r="X40" s="550"/>
      <c r="Y40" s="551"/>
      <c r="Z40" s="549" t="s">
        <v>319</v>
      </c>
      <c r="AA40" s="550"/>
      <c r="AB40" s="550"/>
      <c r="AC40" s="550"/>
      <c r="AD40" s="550"/>
      <c r="AE40" s="550"/>
      <c r="AF40" s="550"/>
      <c r="AG40" s="550"/>
      <c r="AH40" s="550"/>
      <c r="AI40" s="550"/>
      <c r="AJ40" s="550"/>
      <c r="AK40" s="551"/>
      <c r="AL40" s="549" t="s">
        <v>321</v>
      </c>
      <c r="AM40" s="550"/>
      <c r="AN40" s="550"/>
      <c r="AO40" s="550"/>
      <c r="AP40" s="550"/>
      <c r="AQ40" s="550"/>
      <c r="AR40" s="550"/>
      <c r="AS40" s="550"/>
      <c r="AT40" s="550"/>
      <c r="AU40" s="550"/>
      <c r="AV40" s="550"/>
      <c r="AW40" s="551"/>
      <c r="BA40" s="61" t="s">
        <v>31</v>
      </c>
    </row>
    <row r="41" spans="1:53" s="61" customFormat="1" ht="21" customHeight="1" x14ac:dyDescent="0.25">
      <c r="A41" s="514"/>
      <c r="B41" s="552"/>
      <c r="C41" s="553"/>
      <c r="D41" s="553"/>
      <c r="E41" s="553"/>
      <c r="F41" s="553"/>
      <c r="G41" s="553"/>
      <c r="H41" s="553"/>
      <c r="I41" s="553"/>
      <c r="J41" s="553"/>
      <c r="K41" s="553"/>
      <c r="L41" s="553"/>
      <c r="M41" s="554"/>
      <c r="N41" s="552"/>
      <c r="O41" s="553"/>
      <c r="P41" s="553"/>
      <c r="Q41" s="553"/>
      <c r="R41" s="553"/>
      <c r="S41" s="553"/>
      <c r="T41" s="553"/>
      <c r="U41" s="553"/>
      <c r="V41" s="553"/>
      <c r="W41" s="553"/>
      <c r="X41" s="553"/>
      <c r="Y41" s="554"/>
      <c r="Z41" s="552"/>
      <c r="AA41" s="553"/>
      <c r="AB41" s="553"/>
      <c r="AC41" s="553"/>
      <c r="AD41" s="553"/>
      <c r="AE41" s="553"/>
      <c r="AF41" s="553"/>
      <c r="AG41" s="553"/>
      <c r="AH41" s="553"/>
      <c r="AI41" s="553"/>
      <c r="AJ41" s="553"/>
      <c r="AK41" s="554"/>
      <c r="AL41" s="552"/>
      <c r="AM41" s="553"/>
      <c r="AN41" s="553"/>
      <c r="AO41" s="553"/>
      <c r="AP41" s="553"/>
      <c r="AQ41" s="553"/>
      <c r="AR41" s="553"/>
      <c r="AS41" s="553"/>
      <c r="AT41" s="553"/>
      <c r="AU41" s="553"/>
      <c r="AV41" s="553"/>
      <c r="AW41" s="554"/>
    </row>
    <row r="42" spans="1:53" s="61" customFormat="1" ht="21" customHeight="1" thickBot="1" x14ac:dyDescent="0.3">
      <c r="A42" s="515"/>
      <c r="B42" s="516" t="str">
        <f>IF(ISBLANK(B40),"",CONCATENATE($E$12,$F$12,".",$G$12,".","0",RIGHT($B$18,1),".",RIGHT(L42,1),$A40,IF(COUNTIFS(B40,"*op?ional*")=1,"-ij","")))</f>
        <v>L420.19.01.C8</v>
      </c>
      <c r="C42" s="517"/>
      <c r="D42" s="518"/>
      <c r="E42" s="428">
        <v>2</v>
      </c>
      <c r="F42" s="365" t="s">
        <v>6</v>
      </c>
      <c r="G42" s="366">
        <v>0</v>
      </c>
      <c r="H42" s="367">
        <v>14</v>
      </c>
      <c r="I42" s="367">
        <v>0</v>
      </c>
      <c r="J42" s="368">
        <v>0</v>
      </c>
      <c r="K42" s="365">
        <v>0</v>
      </c>
      <c r="L42" s="365" t="s">
        <v>7</v>
      </c>
      <c r="M42" s="187">
        <f>E42*25-G42-H42-I42-J42-K42</f>
        <v>36</v>
      </c>
      <c r="N42" s="516" t="str">
        <f>IF(ISBLANK(N40),"",CONCATENATE($E$12,$F$12,".",$G$12,".","0",RIGHT($N$18,1),".",RIGHT(X42,1),$A40,IF(COUNTIFS(N40,"*op?ional*")=1,"-ij","")))</f>
        <v>L420.19.02.C8</v>
      </c>
      <c r="O42" s="517"/>
      <c r="P42" s="518"/>
      <c r="Q42" s="428">
        <v>2</v>
      </c>
      <c r="R42" s="365" t="s">
        <v>6</v>
      </c>
      <c r="S42" s="366">
        <v>0</v>
      </c>
      <c r="T42" s="367">
        <v>14</v>
      </c>
      <c r="U42" s="367">
        <v>0</v>
      </c>
      <c r="V42" s="368">
        <v>0</v>
      </c>
      <c r="W42" s="365">
        <v>0</v>
      </c>
      <c r="X42" s="365" t="s">
        <v>7</v>
      </c>
      <c r="Y42" s="187">
        <f>Q42*25-S42-T42-U42-V42-W42</f>
        <v>36</v>
      </c>
      <c r="Z42" s="516" t="str">
        <f>IF(ISBLANK(Z40),"",CONCATENATE($E$12,$F$12,".",$G$12,".","0",RIGHT($Z$18,1),".",RIGHT(AJ42,1),$A40,IF(COUNTIFS(Z40,"*op?ional*")=1,"-ij","")))</f>
        <v>L420.19.03.C8</v>
      </c>
      <c r="AA42" s="517"/>
      <c r="AB42" s="518"/>
      <c r="AC42" s="428">
        <v>2</v>
      </c>
      <c r="AD42" s="365" t="s">
        <v>6</v>
      </c>
      <c r="AE42" s="366">
        <v>0</v>
      </c>
      <c r="AF42" s="367">
        <v>14</v>
      </c>
      <c r="AG42" s="367">
        <v>0</v>
      </c>
      <c r="AH42" s="368">
        <v>0</v>
      </c>
      <c r="AI42" s="365">
        <v>0</v>
      </c>
      <c r="AJ42" s="365" t="s">
        <v>7</v>
      </c>
      <c r="AK42" s="187">
        <f>AC42*25-AE42-AF42-AG42-AH42-AI42</f>
        <v>36</v>
      </c>
      <c r="AL42" s="516" t="str">
        <f>IF(ISBLANK(AL40), "",CONCATENATE($E$12,$F$12,".",$G$12,".","0",RIGHT($AL$18,1),".",RIGHT(AV42,1),$A40,IF(COUNTIFS(AL40,"*op?ional*")=1,"-ij","")))</f>
        <v>L420.19.04.C8</v>
      </c>
      <c r="AM42" s="517"/>
      <c r="AN42" s="518"/>
      <c r="AO42" s="364">
        <v>1</v>
      </c>
      <c r="AP42" s="365" t="s">
        <v>6</v>
      </c>
      <c r="AQ42" s="366">
        <v>0</v>
      </c>
      <c r="AR42" s="367">
        <v>14</v>
      </c>
      <c r="AS42" s="367">
        <v>0</v>
      </c>
      <c r="AT42" s="368">
        <v>0</v>
      </c>
      <c r="AU42" s="365">
        <v>0</v>
      </c>
      <c r="AV42" s="365" t="s">
        <v>7</v>
      </c>
      <c r="AW42" s="187">
        <f>AO42*25-AQ42-AR42-AS42-AT42-AU42</f>
        <v>11</v>
      </c>
    </row>
    <row r="43" spans="1:53" s="61" customFormat="1" ht="21" customHeight="1" thickTop="1" x14ac:dyDescent="0.25">
      <c r="A43" s="513" t="s">
        <v>63</v>
      </c>
      <c r="B43" s="549"/>
      <c r="C43" s="550"/>
      <c r="D43" s="550"/>
      <c r="E43" s="550"/>
      <c r="F43" s="550"/>
      <c r="G43" s="550"/>
      <c r="H43" s="550"/>
      <c r="I43" s="550"/>
      <c r="J43" s="550"/>
      <c r="K43" s="550"/>
      <c r="L43" s="550"/>
      <c r="M43" s="551"/>
      <c r="N43" s="549"/>
      <c r="O43" s="550"/>
      <c r="P43" s="550"/>
      <c r="Q43" s="550"/>
      <c r="R43" s="550"/>
      <c r="S43" s="550"/>
      <c r="T43" s="550"/>
      <c r="U43" s="550"/>
      <c r="V43" s="550"/>
      <c r="W43" s="550"/>
      <c r="X43" s="550"/>
      <c r="Y43" s="551"/>
      <c r="Z43" s="549"/>
      <c r="AA43" s="550"/>
      <c r="AB43" s="550"/>
      <c r="AC43" s="550"/>
      <c r="AD43" s="550"/>
      <c r="AE43" s="550"/>
      <c r="AF43" s="550"/>
      <c r="AG43" s="550"/>
      <c r="AH43" s="550"/>
      <c r="AI43" s="550"/>
      <c r="AJ43" s="550"/>
      <c r="AK43" s="551"/>
      <c r="AL43" s="501" t="s">
        <v>296</v>
      </c>
      <c r="AM43" s="502"/>
      <c r="AN43" s="502"/>
      <c r="AO43" s="502"/>
      <c r="AP43" s="502"/>
      <c r="AQ43" s="502"/>
      <c r="AR43" s="502"/>
      <c r="AS43" s="502"/>
      <c r="AT43" s="502"/>
      <c r="AU43" s="502"/>
      <c r="AV43" s="502"/>
      <c r="AW43" s="503"/>
    </row>
    <row r="44" spans="1:53" s="61" customFormat="1" ht="21" customHeight="1" x14ac:dyDescent="0.25">
      <c r="A44" s="514"/>
      <c r="B44" s="552"/>
      <c r="C44" s="553"/>
      <c r="D44" s="553"/>
      <c r="E44" s="553"/>
      <c r="F44" s="553"/>
      <c r="G44" s="553"/>
      <c r="H44" s="553"/>
      <c r="I44" s="553"/>
      <c r="J44" s="553"/>
      <c r="K44" s="553"/>
      <c r="L44" s="553"/>
      <c r="M44" s="554"/>
      <c r="N44" s="552"/>
      <c r="O44" s="553"/>
      <c r="P44" s="553"/>
      <c r="Q44" s="553"/>
      <c r="R44" s="553"/>
      <c r="S44" s="553"/>
      <c r="T44" s="553"/>
      <c r="U44" s="553"/>
      <c r="V44" s="553"/>
      <c r="W44" s="553"/>
      <c r="X44" s="553"/>
      <c r="Y44" s="554"/>
      <c r="Z44" s="552"/>
      <c r="AA44" s="553"/>
      <c r="AB44" s="553"/>
      <c r="AC44" s="553"/>
      <c r="AD44" s="553"/>
      <c r="AE44" s="553"/>
      <c r="AF44" s="553"/>
      <c r="AG44" s="553"/>
      <c r="AH44" s="553"/>
      <c r="AI44" s="553"/>
      <c r="AJ44" s="553"/>
      <c r="AK44" s="554"/>
      <c r="AL44" s="504"/>
      <c r="AM44" s="505"/>
      <c r="AN44" s="505"/>
      <c r="AO44" s="505"/>
      <c r="AP44" s="505"/>
      <c r="AQ44" s="505"/>
      <c r="AR44" s="505"/>
      <c r="AS44" s="505"/>
      <c r="AT44" s="505"/>
      <c r="AU44" s="505"/>
      <c r="AV44" s="505"/>
      <c r="AW44" s="506"/>
    </row>
    <row r="45" spans="1:53" s="61" customFormat="1" ht="21" customHeight="1" thickBot="1" x14ac:dyDescent="0.3">
      <c r="A45" s="515"/>
      <c r="B45" s="516" t="str">
        <f>IF(ISBLANK(B43),"",CONCATENATE($E$12,$F$12,".",$G$12,".","0",RIGHT($B$18,1),".",RIGHT(L45,1),$A43,IF(COUNTIFS(B43,"*op?ional*")=1,"-ij","")))</f>
        <v/>
      </c>
      <c r="C45" s="517"/>
      <c r="D45" s="518"/>
      <c r="E45" s="305"/>
      <c r="F45" s="210"/>
      <c r="G45" s="205"/>
      <c r="H45" s="207"/>
      <c r="I45" s="207"/>
      <c r="J45" s="206"/>
      <c r="K45" s="209"/>
      <c r="L45" s="187"/>
      <c r="M45" s="187"/>
      <c r="N45" s="516" t="str">
        <f>IF(ISBLANK(N43),"",CONCATENATE($E$12,$F$12,".",$G$12,".","0",RIGHT($N$18,1),".",RIGHT(X45,1),$A43,IF(COUNTIFS(N43,"*op?ional*")=1,"-ij","")))</f>
        <v/>
      </c>
      <c r="O45" s="517"/>
      <c r="P45" s="518"/>
      <c r="Q45" s="305"/>
      <c r="R45" s="210"/>
      <c r="S45" s="205"/>
      <c r="T45" s="207"/>
      <c r="U45" s="207"/>
      <c r="V45" s="206"/>
      <c r="W45" s="209"/>
      <c r="X45" s="188"/>
      <c r="Y45" s="187"/>
      <c r="Z45" s="516" t="str">
        <f>IF(ISBLANK(Z43),"",CONCATENATE($E$12,$F$12,".",$G$12,".","0",RIGHT($Z$18,1),".",RIGHT(AJ45,1),$A43,IF(COUNTIFS(Z43,"*op?ional*")=1,"-ij","")))</f>
        <v/>
      </c>
      <c r="AA45" s="517"/>
      <c r="AB45" s="518"/>
      <c r="AC45" s="189"/>
      <c r="AD45" s="210"/>
      <c r="AE45" s="190"/>
      <c r="AF45" s="191"/>
      <c r="AG45" s="191"/>
      <c r="AH45" s="192"/>
      <c r="AI45" s="187"/>
      <c r="AJ45" s="188"/>
      <c r="AK45" s="187"/>
      <c r="AL45" s="516" t="str">
        <f>IF(ISBLANK(AL43), "",CONCATENATE($E$12,$F$12,".",$G$12,".","0",RIGHT($AL$18,1),".",RIGHT(AV45,1),$A43,IF(COUNTIFS(AL43,"*op?ional*")=1,"-ij","")))</f>
        <v>L420.19.04.D9</v>
      </c>
      <c r="AM45" s="517"/>
      <c r="AN45" s="518"/>
      <c r="AO45" s="364">
        <v>2</v>
      </c>
      <c r="AP45" s="365" t="s">
        <v>6</v>
      </c>
      <c r="AQ45" s="366">
        <v>0</v>
      </c>
      <c r="AR45" s="367">
        <v>0</v>
      </c>
      <c r="AS45" s="367">
        <v>0</v>
      </c>
      <c r="AT45" s="368">
        <v>0</v>
      </c>
      <c r="AU45" s="365">
        <v>40</v>
      </c>
      <c r="AV45" s="429" t="s">
        <v>54</v>
      </c>
      <c r="AW45" s="187">
        <f>AO45*25-AQ45-AR45-AS45-AT45-AU45</f>
        <v>10</v>
      </c>
    </row>
    <row r="46" spans="1:53" s="61" customFormat="1" ht="21" customHeight="1" thickTop="1" x14ac:dyDescent="0.25">
      <c r="A46" s="513" t="s">
        <v>64</v>
      </c>
      <c r="B46" s="549"/>
      <c r="C46" s="550"/>
      <c r="D46" s="550"/>
      <c r="E46" s="550"/>
      <c r="F46" s="550"/>
      <c r="G46" s="550"/>
      <c r="H46" s="550"/>
      <c r="I46" s="550"/>
      <c r="J46" s="550"/>
      <c r="K46" s="550"/>
      <c r="L46" s="550"/>
      <c r="M46" s="551"/>
      <c r="N46" s="549"/>
      <c r="O46" s="550"/>
      <c r="P46" s="550"/>
      <c r="Q46" s="550"/>
      <c r="R46" s="550"/>
      <c r="S46" s="550"/>
      <c r="T46" s="550"/>
      <c r="U46" s="550"/>
      <c r="V46" s="550"/>
      <c r="W46" s="550"/>
      <c r="X46" s="550"/>
      <c r="Y46" s="551"/>
      <c r="Z46" s="549"/>
      <c r="AA46" s="550"/>
      <c r="AB46" s="550"/>
      <c r="AC46" s="550"/>
      <c r="AD46" s="550"/>
      <c r="AE46" s="550"/>
      <c r="AF46" s="550"/>
      <c r="AG46" s="550"/>
      <c r="AH46" s="550"/>
      <c r="AI46" s="550"/>
      <c r="AJ46" s="550"/>
      <c r="AK46" s="551"/>
      <c r="AL46" s="549"/>
      <c r="AM46" s="550"/>
      <c r="AN46" s="550"/>
      <c r="AO46" s="550"/>
      <c r="AP46" s="550"/>
      <c r="AQ46" s="550"/>
      <c r="AR46" s="550"/>
      <c r="AS46" s="550"/>
      <c r="AT46" s="550"/>
      <c r="AU46" s="550"/>
      <c r="AV46" s="550"/>
      <c r="AW46" s="551"/>
    </row>
    <row r="47" spans="1:53" s="61" customFormat="1" ht="21" customHeight="1" x14ac:dyDescent="0.25">
      <c r="A47" s="514"/>
      <c r="B47" s="552"/>
      <c r="C47" s="553"/>
      <c r="D47" s="553"/>
      <c r="E47" s="553"/>
      <c r="F47" s="553"/>
      <c r="G47" s="553"/>
      <c r="H47" s="553"/>
      <c r="I47" s="553"/>
      <c r="J47" s="553"/>
      <c r="K47" s="553"/>
      <c r="L47" s="553"/>
      <c r="M47" s="554"/>
      <c r="N47" s="552"/>
      <c r="O47" s="553"/>
      <c r="P47" s="553"/>
      <c r="Q47" s="553"/>
      <c r="R47" s="553"/>
      <c r="S47" s="553"/>
      <c r="T47" s="553"/>
      <c r="U47" s="553"/>
      <c r="V47" s="553"/>
      <c r="W47" s="553"/>
      <c r="X47" s="553"/>
      <c r="Y47" s="554"/>
      <c r="Z47" s="552"/>
      <c r="AA47" s="553"/>
      <c r="AB47" s="553"/>
      <c r="AC47" s="553"/>
      <c r="AD47" s="553"/>
      <c r="AE47" s="553"/>
      <c r="AF47" s="553"/>
      <c r="AG47" s="553"/>
      <c r="AH47" s="553"/>
      <c r="AI47" s="553"/>
      <c r="AJ47" s="553"/>
      <c r="AK47" s="554"/>
      <c r="AL47" s="552"/>
      <c r="AM47" s="553"/>
      <c r="AN47" s="553"/>
      <c r="AO47" s="553"/>
      <c r="AP47" s="553"/>
      <c r="AQ47" s="553"/>
      <c r="AR47" s="553"/>
      <c r="AS47" s="553"/>
      <c r="AT47" s="553"/>
      <c r="AU47" s="553"/>
      <c r="AV47" s="553"/>
      <c r="AW47" s="554"/>
    </row>
    <row r="48" spans="1:53" s="61" customFormat="1" ht="21" customHeight="1" thickBot="1" x14ac:dyDescent="0.3">
      <c r="A48" s="515"/>
      <c r="B48" s="516" t="str">
        <f>IF(ISBLANK(B46),"",CONCATENATE($E$12,$F$12,".",$G$12,".","0",RIGHT($B$18,1),".",RIGHT(L48,1),$A46,IF(COUNTIFS(B46,"*op?ional*")=1,"-ij","")))</f>
        <v/>
      </c>
      <c r="C48" s="517"/>
      <c r="D48" s="518"/>
      <c r="E48" s="305"/>
      <c r="F48" s="210"/>
      <c r="G48" s="205"/>
      <c r="H48" s="207"/>
      <c r="I48" s="207"/>
      <c r="J48" s="206"/>
      <c r="K48" s="209"/>
      <c r="L48" s="187"/>
      <c r="M48" s="187"/>
      <c r="N48" s="516" t="str">
        <f>IF(ISBLANK(N46),"",CONCATENATE($E$12,$F$12,".",$G$12,".","0",RIGHT($N$18,1),".",RIGHT(X48,1),$A46,IF(COUNTIFS(N46,"*op?ional*")=1,"-ij","")))</f>
        <v/>
      </c>
      <c r="O48" s="517"/>
      <c r="P48" s="518"/>
      <c r="Q48" s="305"/>
      <c r="R48" s="210"/>
      <c r="S48" s="190"/>
      <c r="T48" s="191"/>
      <c r="U48" s="191"/>
      <c r="V48" s="192"/>
      <c r="W48" s="187"/>
      <c r="X48" s="188"/>
      <c r="Y48" s="187"/>
      <c r="Z48" s="516" t="str">
        <f>IF(ISBLANK(Z46),"",CONCATENATE($E$12,$F$12,".",$G$12,".","0",RIGHT($Z$18,1),".",RIGHT(AJ48,1),$A46,IF(COUNTIFS(Z46,"*op?ional*")=1,"-ij","")))</f>
        <v/>
      </c>
      <c r="AA48" s="517"/>
      <c r="AB48" s="518"/>
      <c r="AC48" s="305"/>
      <c r="AD48" s="210"/>
      <c r="AE48" s="205"/>
      <c r="AF48" s="207"/>
      <c r="AG48" s="207"/>
      <c r="AH48" s="206"/>
      <c r="AI48" s="209"/>
      <c r="AJ48" s="188"/>
      <c r="AK48" s="187"/>
      <c r="AL48" s="516" t="str">
        <f>IF(ISBLANK(AL46), "",CONCATENATE($E$12,$F$12,".",$G$12,".","0",RIGHT($AL$18,1),".",RIGHT(AV48,1),$A46,IF(COUNTIFS(AL46,"*op?ional*")=1,"-ij","")))</f>
        <v/>
      </c>
      <c r="AM48" s="517"/>
      <c r="AN48" s="518"/>
      <c r="AO48" s="189"/>
      <c r="AP48" s="210"/>
      <c r="AQ48" s="190"/>
      <c r="AR48" s="191"/>
      <c r="AS48" s="191"/>
      <c r="AT48" s="192"/>
      <c r="AU48" s="187"/>
      <c r="AV48" s="188"/>
      <c r="AW48" s="187"/>
    </row>
    <row r="49" spans="1:63" s="61" customFormat="1" ht="21" customHeight="1" thickTop="1" x14ac:dyDescent="0.25">
      <c r="A49" s="513" t="s">
        <v>65</v>
      </c>
      <c r="B49" s="543" t="s">
        <v>367</v>
      </c>
      <c r="C49" s="544"/>
      <c r="D49" s="544"/>
      <c r="E49" s="544"/>
      <c r="F49" s="544"/>
      <c r="G49" s="544"/>
      <c r="H49" s="544"/>
      <c r="I49" s="544"/>
      <c r="J49" s="544"/>
      <c r="K49" s="544"/>
      <c r="L49" s="544"/>
      <c r="M49" s="545"/>
      <c r="N49" s="543" t="s">
        <v>367</v>
      </c>
      <c r="O49" s="544"/>
      <c r="P49" s="544"/>
      <c r="Q49" s="544"/>
      <c r="R49" s="544"/>
      <c r="S49" s="544"/>
      <c r="T49" s="544"/>
      <c r="U49" s="544"/>
      <c r="V49" s="544"/>
      <c r="W49" s="544"/>
      <c r="X49" s="544"/>
      <c r="Y49" s="545"/>
      <c r="Z49" s="543" t="s">
        <v>367</v>
      </c>
      <c r="AA49" s="544"/>
      <c r="AB49" s="544"/>
      <c r="AC49" s="544"/>
      <c r="AD49" s="544"/>
      <c r="AE49" s="544"/>
      <c r="AF49" s="544"/>
      <c r="AG49" s="544"/>
      <c r="AH49" s="544"/>
      <c r="AI49" s="544"/>
      <c r="AJ49" s="544"/>
      <c r="AK49" s="545"/>
      <c r="AL49" s="543" t="s">
        <v>367</v>
      </c>
      <c r="AM49" s="544"/>
      <c r="AN49" s="544"/>
      <c r="AO49" s="544"/>
      <c r="AP49" s="544"/>
      <c r="AQ49" s="544"/>
      <c r="AR49" s="544"/>
      <c r="AS49" s="544"/>
      <c r="AT49" s="544"/>
      <c r="AU49" s="544"/>
      <c r="AV49" s="544"/>
      <c r="AW49" s="545"/>
      <c r="AX49" s="62"/>
      <c r="AY49" s="62"/>
      <c r="AZ49" s="62"/>
      <c r="BA49" s="62"/>
      <c r="BB49" s="62"/>
      <c r="BC49" s="62"/>
      <c r="BD49" s="62"/>
      <c r="BE49" s="62"/>
      <c r="BF49" s="62"/>
      <c r="BG49" s="62"/>
      <c r="BH49" s="62"/>
      <c r="BI49" s="62"/>
      <c r="BJ49" s="62"/>
      <c r="BK49" s="62"/>
    </row>
    <row r="50" spans="1:63" s="61" customFormat="1" ht="21" customHeight="1" x14ac:dyDescent="0.25">
      <c r="A50" s="514"/>
      <c r="B50" s="546"/>
      <c r="C50" s="547"/>
      <c r="D50" s="547"/>
      <c r="E50" s="547"/>
      <c r="F50" s="547"/>
      <c r="G50" s="547"/>
      <c r="H50" s="547"/>
      <c r="I50" s="547"/>
      <c r="J50" s="547"/>
      <c r="K50" s="547"/>
      <c r="L50" s="547"/>
      <c r="M50" s="548"/>
      <c r="N50" s="546"/>
      <c r="O50" s="547"/>
      <c r="P50" s="547"/>
      <c r="Q50" s="547"/>
      <c r="R50" s="547"/>
      <c r="S50" s="547"/>
      <c r="T50" s="547"/>
      <c r="U50" s="547"/>
      <c r="V50" s="547"/>
      <c r="W50" s="547"/>
      <c r="X50" s="547"/>
      <c r="Y50" s="548"/>
      <c r="Z50" s="546"/>
      <c r="AA50" s="547"/>
      <c r="AB50" s="547"/>
      <c r="AC50" s="547"/>
      <c r="AD50" s="547"/>
      <c r="AE50" s="547"/>
      <c r="AF50" s="547"/>
      <c r="AG50" s="547"/>
      <c r="AH50" s="547"/>
      <c r="AI50" s="547"/>
      <c r="AJ50" s="547"/>
      <c r="AK50" s="548"/>
      <c r="AL50" s="546"/>
      <c r="AM50" s="547"/>
      <c r="AN50" s="547"/>
      <c r="AO50" s="547"/>
      <c r="AP50" s="547"/>
      <c r="AQ50" s="547"/>
      <c r="AR50" s="547"/>
      <c r="AS50" s="547"/>
      <c r="AT50" s="547"/>
      <c r="AU50" s="547"/>
      <c r="AV50" s="547"/>
      <c r="AW50" s="548"/>
      <c r="AX50" s="62"/>
      <c r="AY50" s="62"/>
      <c r="AZ50" s="62"/>
      <c r="BA50" s="62"/>
      <c r="BB50" s="62"/>
      <c r="BC50" s="62"/>
      <c r="BD50" s="62"/>
      <c r="BE50" s="62"/>
      <c r="BF50" s="62"/>
      <c r="BG50" s="62"/>
      <c r="BH50" s="62"/>
      <c r="BI50" s="62"/>
      <c r="BJ50" s="62"/>
      <c r="BK50" s="62"/>
    </row>
    <row r="51" spans="1:63" s="61" customFormat="1" ht="21" customHeight="1" thickBot="1" x14ac:dyDescent="0.3">
      <c r="A51" s="515"/>
      <c r="B51" s="540" t="str">
        <f>IF(ISBLANK(B49),"",CONCATENATE($E$12,$F$12,".",$G$12,".","0",RIGHT($B$18,1),".",RIGHT(L51,1),$A$49,"-ij"))</f>
        <v>L420.19.01.11-ij</v>
      </c>
      <c r="C51" s="541"/>
      <c r="D51" s="542"/>
      <c r="E51" s="307"/>
      <c r="F51" s="308"/>
      <c r="G51" s="294"/>
      <c r="H51" s="296"/>
      <c r="I51" s="296"/>
      <c r="J51" s="295"/>
      <c r="K51" s="320"/>
      <c r="L51" s="297"/>
      <c r="M51" s="298"/>
      <c r="N51" s="540" t="str">
        <f>IF(ISBLANK(N49),"",CONCATENATE($E$12,$F$12,".",$G$12,".","0",RIGHT($N$18,1),".",RIGHT(X51,1),$A$49,"-ij"))</f>
        <v>L420.19.02.11-ij</v>
      </c>
      <c r="O51" s="541"/>
      <c r="P51" s="542"/>
      <c r="Q51" s="307"/>
      <c r="R51" s="308"/>
      <c r="S51" s="294"/>
      <c r="T51" s="296"/>
      <c r="U51" s="296"/>
      <c r="V51" s="295"/>
      <c r="W51" s="320"/>
      <c r="X51" s="298"/>
      <c r="Y51" s="298"/>
      <c r="Z51" s="540" t="str">
        <f>IF(ISBLANK(Z49),"",CONCATENATE($E$12,$F$12,".",$G$12,".","0",RIGHT($Z$18,1),".",RIGHT(AJ51,1),$A$49,"-ij"))</f>
        <v>L420.19.03.11-ij</v>
      </c>
      <c r="AA51" s="541"/>
      <c r="AB51" s="542"/>
      <c r="AC51" s="307"/>
      <c r="AD51" s="308"/>
      <c r="AE51" s="294"/>
      <c r="AF51" s="296"/>
      <c r="AG51" s="296"/>
      <c r="AH51" s="295"/>
      <c r="AI51" s="320"/>
      <c r="AJ51" s="297"/>
      <c r="AK51" s="298"/>
      <c r="AL51" s="540" t="str">
        <f>IF(ISBLANK(AL49),"",CONCATENATE($E$12,$F$12,".",$G$12,".","0",RIGHT($AL$18,1),".",RIGHT(AV51,1),$A$49,"-ij"))</f>
        <v>L420.19.04.11-ij</v>
      </c>
      <c r="AM51" s="541"/>
      <c r="AN51" s="542"/>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5" t="s">
        <v>8</v>
      </c>
      <c r="B52" s="461" t="s">
        <v>283</v>
      </c>
      <c r="C52" s="462"/>
      <c r="D52" s="462"/>
      <c r="E52" s="459">
        <f>SUM(G21:J21,G24:J24,G27:J27,G30:J30,G33:J33,G36:J36,G39:J39,G42:J42,G45:J45,G48:J48)</f>
        <v>210</v>
      </c>
      <c r="F52" s="460"/>
      <c r="G52" s="537" t="s">
        <v>10</v>
      </c>
      <c r="H52" s="538"/>
      <c r="I52" s="538"/>
      <c r="J52" s="539"/>
      <c r="K52" s="458">
        <f>SUM(M21,M24,M27,M30,M33,M36,M39,M42,M45,M48)</f>
        <v>540</v>
      </c>
      <c r="L52" s="459"/>
      <c r="M52" s="460"/>
      <c r="N52" s="461" t="s">
        <v>9</v>
      </c>
      <c r="O52" s="462"/>
      <c r="P52" s="159"/>
      <c r="Q52" s="459">
        <f>SUM(S21:V21,S24:V24,S27:V27,S30:V30,S33:V33,S36:V36,S39:V39,S42:V42,S45:V45,S48:V48)</f>
        <v>203</v>
      </c>
      <c r="R52" s="460"/>
      <c r="S52" s="537" t="s">
        <v>10</v>
      </c>
      <c r="T52" s="538"/>
      <c r="U52" s="538"/>
      <c r="V52" s="539"/>
      <c r="W52" s="458">
        <f>SUM(Y21,Y24,Y27,Y30,Y33,Y36,Y39,Y42,Y45,Y48)</f>
        <v>547</v>
      </c>
      <c r="X52" s="459"/>
      <c r="Y52" s="460"/>
      <c r="Z52" s="461" t="s">
        <v>9</v>
      </c>
      <c r="AA52" s="462"/>
      <c r="AB52" s="159"/>
      <c r="AC52" s="459">
        <f>SUM(AE21:AH21,AE24:AH24,AE27:AH27,AE30:AH30,AE33:AH33,AE36:AH36,AE39:AH39,AE42:AH42,AE45:AH45,AE48:AH48)</f>
        <v>196</v>
      </c>
      <c r="AD52" s="460"/>
      <c r="AE52" s="537" t="s">
        <v>10</v>
      </c>
      <c r="AF52" s="538"/>
      <c r="AG52" s="538"/>
      <c r="AH52" s="539"/>
      <c r="AI52" s="458">
        <f>SUM(AK21,AK24,AK27,AK30,AK33,AK36,AK39,AK42,AK45,AK48)</f>
        <v>554</v>
      </c>
      <c r="AJ52" s="459"/>
      <c r="AK52" s="460"/>
      <c r="AL52" s="461" t="s">
        <v>9</v>
      </c>
      <c r="AM52" s="462"/>
      <c r="AN52" s="159"/>
      <c r="AO52" s="459">
        <f>SUM(AQ21:AT21,AQ24:AT24,AQ27:AT27,AQ30:AT30,AQ33:AT33,AQ36:AT36,AQ39:AT39,AQ42:AT42,AQ45:AT45,AQ48:AT48)</f>
        <v>182</v>
      </c>
      <c r="AP52" s="460"/>
      <c r="AQ52" s="537" t="s">
        <v>10</v>
      </c>
      <c r="AR52" s="538"/>
      <c r="AS52" s="538"/>
      <c r="AT52" s="539"/>
      <c r="AU52" s="458">
        <f>SUM(AW21,AW24,AW27,AW30,AW33,AW36,AW39,AW42,AW45,AW48)</f>
        <v>528</v>
      </c>
      <c r="AV52" s="459"/>
      <c r="AW52" s="460"/>
    </row>
    <row r="53" spans="1:63" s="161" customFormat="1" ht="21" customHeight="1" thickBot="1" x14ac:dyDescent="0.25">
      <c r="A53" s="536"/>
      <c r="B53" s="457" t="s">
        <v>11</v>
      </c>
      <c r="C53" s="455"/>
      <c r="D53" s="162"/>
      <c r="E53" s="533">
        <f>SUM(E21,E24,E27,E30,E33,E36,E39,E42,E45,E48)</f>
        <v>30</v>
      </c>
      <c r="F53" s="534"/>
      <c r="G53" s="457" t="s">
        <v>12</v>
      </c>
      <c r="H53" s="455"/>
      <c r="I53" s="455"/>
      <c r="J53" s="456"/>
      <c r="K53" s="457" t="str">
        <f>BD380</f>
        <v>4E,3D,1C</v>
      </c>
      <c r="L53" s="455"/>
      <c r="M53" s="456"/>
      <c r="N53" s="457" t="s">
        <v>11</v>
      </c>
      <c r="O53" s="455"/>
      <c r="P53" s="162"/>
      <c r="Q53" s="533">
        <f>SUM(Q21,Q24,Q27,Q30,Q33,Q36,Q39,Q42,Q45,Q48)</f>
        <v>30</v>
      </c>
      <c r="R53" s="534"/>
      <c r="S53" s="457" t="s">
        <v>12</v>
      </c>
      <c r="T53" s="455"/>
      <c r="U53" s="455"/>
      <c r="V53" s="456"/>
      <c r="W53" s="457" t="str">
        <f>BD381</f>
        <v>4E,3D,1C</v>
      </c>
      <c r="X53" s="455"/>
      <c r="Y53" s="456"/>
      <c r="Z53" s="457" t="s">
        <v>11</v>
      </c>
      <c r="AA53" s="455"/>
      <c r="AB53" s="162"/>
      <c r="AC53" s="533">
        <f>SUM(AC21,AC24,AC27,AC30,AC33,AC36,AC39,AC42,AC45,AC48)</f>
        <v>30</v>
      </c>
      <c r="AD53" s="534"/>
      <c r="AE53" s="457" t="s">
        <v>12</v>
      </c>
      <c r="AF53" s="455"/>
      <c r="AG53" s="455"/>
      <c r="AH53" s="456"/>
      <c r="AI53" s="457" t="str">
        <f>BD382</f>
        <v>4E,3D,1C</v>
      </c>
      <c r="AJ53" s="455"/>
      <c r="AK53" s="456"/>
      <c r="AL53" s="457" t="s">
        <v>11</v>
      </c>
      <c r="AM53" s="455"/>
      <c r="AN53" s="162"/>
      <c r="AO53" s="533">
        <f>SUM(AO21,AO24,AO27,AO30,AO33,AO36,AO39,AO42,AO45,AO48)</f>
        <v>30</v>
      </c>
      <c r="AP53" s="534"/>
      <c r="AQ53" s="457" t="s">
        <v>12</v>
      </c>
      <c r="AR53" s="455"/>
      <c r="AS53" s="455"/>
      <c r="AT53" s="456"/>
      <c r="AU53" s="457" t="str">
        <f>BD383</f>
        <v>4E,3D,2C</v>
      </c>
      <c r="AV53" s="455"/>
      <c r="AW53" s="456"/>
    </row>
    <row r="54" spans="1:63" s="161" customFormat="1" ht="21" customHeight="1" thickTop="1" x14ac:dyDescent="0.2">
      <c r="A54" s="535" t="s">
        <v>13</v>
      </c>
      <c r="B54" s="461" t="s">
        <v>283</v>
      </c>
      <c r="C54" s="462"/>
      <c r="D54" s="462"/>
      <c r="E54" s="532">
        <f>SUM(G55:J55)</f>
        <v>15</v>
      </c>
      <c r="F54" s="460"/>
      <c r="G54" s="164"/>
      <c r="H54" s="165"/>
      <c r="I54" s="165"/>
      <c r="J54" s="165"/>
      <c r="K54" s="310"/>
      <c r="L54" s="165"/>
      <c r="M54" s="160"/>
      <c r="N54" s="461" t="s">
        <v>9</v>
      </c>
      <c r="O54" s="462"/>
      <c r="P54" s="163"/>
      <c r="Q54" s="459">
        <f>SUM(S55:V55)</f>
        <v>14.5</v>
      </c>
      <c r="R54" s="460"/>
      <c r="S54" s="164"/>
      <c r="T54" s="165"/>
      <c r="U54" s="165"/>
      <c r="V54" s="165"/>
      <c r="W54" s="310"/>
      <c r="X54" s="165"/>
      <c r="Y54" s="160"/>
      <c r="Z54" s="461" t="s">
        <v>9</v>
      </c>
      <c r="AA54" s="462"/>
      <c r="AB54" s="163"/>
      <c r="AC54" s="459">
        <f>SUM(AE55:AH55)</f>
        <v>14</v>
      </c>
      <c r="AD54" s="460"/>
      <c r="AE54" s="164"/>
      <c r="AF54" s="165"/>
      <c r="AG54" s="165"/>
      <c r="AH54" s="165"/>
      <c r="AI54" s="310"/>
      <c r="AJ54" s="165"/>
      <c r="AK54" s="160"/>
      <c r="AL54" s="461" t="s">
        <v>9</v>
      </c>
      <c r="AM54" s="462"/>
      <c r="AN54" s="163"/>
      <c r="AO54" s="459">
        <f>SUM(AQ55:AT55)</f>
        <v>13</v>
      </c>
      <c r="AP54" s="460"/>
      <c r="AQ54" s="164"/>
      <c r="AR54" s="165"/>
      <c r="AS54" s="165"/>
      <c r="AT54" s="165"/>
      <c r="AU54" s="310"/>
      <c r="AV54" s="165"/>
      <c r="AW54" s="160"/>
    </row>
    <row r="55" spans="1:63" s="161" customFormat="1" ht="21" customHeight="1" thickBot="1" x14ac:dyDescent="0.25">
      <c r="A55" s="536"/>
      <c r="B55" s="457" t="s">
        <v>14</v>
      </c>
      <c r="C55" s="455"/>
      <c r="D55" s="166"/>
      <c r="E55" s="166"/>
      <c r="F55" s="167"/>
      <c r="G55" s="168">
        <f>(G21+G24+G27+G30+G33+G36+G39+G42+G45+G48)/14</f>
        <v>0</v>
      </c>
      <c r="H55" s="168">
        <f>(H21+H24+H27+H30+H33+H36+H39+H42+H45+H48)/14</f>
        <v>8</v>
      </c>
      <c r="I55" s="168">
        <f>(I21+I24+I27+I30+I33+I36+I39+I42+I45+I48)/14</f>
        <v>7</v>
      </c>
      <c r="J55" s="168">
        <f>(J21+J24+J27+J30+J33+J36+J39+J42+J45+J48)/14</f>
        <v>0</v>
      </c>
      <c r="K55" s="454" t="s">
        <v>15</v>
      </c>
      <c r="L55" s="455"/>
      <c r="M55" s="456"/>
      <c r="N55" s="457" t="s">
        <v>14</v>
      </c>
      <c r="O55" s="455"/>
      <c r="P55" s="166"/>
      <c r="Q55" s="166"/>
      <c r="R55" s="167"/>
      <c r="S55" s="168">
        <f>(S21+S24+S27+S30+S33+S36+S39+S42+S45+S48)/14</f>
        <v>0</v>
      </c>
      <c r="T55" s="168">
        <f>(T21+T24+T27+T30+T33+T36+T39+T42+T45+T48)/14</f>
        <v>7</v>
      </c>
      <c r="U55" s="168">
        <f>(U21+U24+U27+U30+U33+U36+U39+U42+U45+U48)/14</f>
        <v>7.5</v>
      </c>
      <c r="V55" s="168">
        <f>(V21+V24+V27+V30+V33+V36+V39+V42+V45+V48)/14</f>
        <v>0</v>
      </c>
      <c r="W55" s="454" t="s">
        <v>15</v>
      </c>
      <c r="X55" s="455"/>
      <c r="Y55" s="456"/>
      <c r="Z55" s="457" t="s">
        <v>14</v>
      </c>
      <c r="AA55" s="455"/>
      <c r="AB55" s="166"/>
      <c r="AC55" s="166"/>
      <c r="AD55" s="167"/>
      <c r="AE55" s="168">
        <f>(AE21+AE24+AE27+AE30+AE33+AE36+AE39+AE42+AE45+AE48)/14</f>
        <v>0</v>
      </c>
      <c r="AF55" s="168">
        <f>(AF21+AF24+AF27+AF30+AF33+AF36+AF39+AF42+AF45+AF48)/14</f>
        <v>4</v>
      </c>
      <c r="AG55" s="168">
        <f>(AG21+AG24+AG27+AG30+AG33+AG36+AG39+AG42+AG45+AG48)/14</f>
        <v>10</v>
      </c>
      <c r="AH55" s="168">
        <f>(AH21+AH24+AH27+AH30+AH33+AH36+AH39+AH42+AH45+AH48)/14</f>
        <v>0</v>
      </c>
      <c r="AI55" s="454" t="s">
        <v>15</v>
      </c>
      <c r="AJ55" s="455"/>
      <c r="AK55" s="456"/>
      <c r="AL55" s="457" t="s">
        <v>14</v>
      </c>
      <c r="AM55" s="455"/>
      <c r="AN55" s="166"/>
      <c r="AO55" s="166"/>
      <c r="AP55" s="167"/>
      <c r="AQ55" s="168">
        <f>(AQ21+AQ24+AQ27+AQ30+AQ33+AQ36+AQ39+AQ42+AQ45+AQ48)/14</f>
        <v>0</v>
      </c>
      <c r="AR55" s="168">
        <f>(AR21+AR24+AR27+AR30+AR33+AR36+AR39+AR42+AR45+AR48)/14</f>
        <v>6</v>
      </c>
      <c r="AS55" s="168">
        <f>(AS21+AS24+AS27+AS30+AS33+AS36+AS39+AS42+AS45+AS48)/14</f>
        <v>7</v>
      </c>
      <c r="AT55" s="168">
        <f>(AT21+AT24+AT27+AT30+AT33+AT36+AT39+AT42+AT45+AT48)/14</f>
        <v>0</v>
      </c>
      <c r="AU55" s="454" t="s">
        <v>15</v>
      </c>
      <c r="AV55" s="455"/>
      <c r="AW55" s="456"/>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3" t="s">
        <v>298</v>
      </c>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8" t="s">
        <v>39</v>
      </c>
      <c r="C59" s="468"/>
      <c r="D59" s="468"/>
      <c r="E59" s="468"/>
      <c r="F59" s="468"/>
      <c r="G59" s="468"/>
      <c r="H59" s="468"/>
      <c r="I59" s="468"/>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8" t="s">
        <v>42</v>
      </c>
      <c r="AO59" s="468"/>
      <c r="AP59" s="468"/>
      <c r="AQ59" s="468"/>
      <c r="AR59" s="468"/>
      <c r="AS59" s="468"/>
      <c r="AT59" s="468"/>
      <c r="AU59" s="468"/>
      <c r="AV59" s="48"/>
      <c r="AW59" s="48"/>
    </row>
    <row r="60" spans="1:63" s="59" customFormat="1" ht="21" customHeight="1" x14ac:dyDescent="0.2">
      <c r="B60" s="469" t="str">
        <f>Coperta!B$46</f>
        <v>Conf.univ.dr.ing. Florin DRĂGAN</v>
      </c>
      <c r="C60" s="469"/>
      <c r="D60" s="469"/>
      <c r="E60" s="469"/>
      <c r="F60" s="469"/>
      <c r="G60" s="469"/>
      <c r="H60" s="469"/>
      <c r="I60" s="469"/>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9" t="str">
        <f>Coperta!N$46</f>
        <v>Conf.univ.dr.ing. Virgil STOICA</v>
      </c>
      <c r="AO60" s="469"/>
      <c r="AP60" s="469"/>
      <c r="AQ60" s="469"/>
      <c r="AR60" s="469"/>
      <c r="AS60" s="469"/>
      <c r="AT60" s="469"/>
      <c r="AU60" s="469"/>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26" t="s">
        <v>75</v>
      </c>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row>
    <row r="68" spans="1:50" s="59" customFormat="1" ht="21" customHeight="1" thickBot="1" x14ac:dyDescent="0.25">
      <c r="A68" s="510" t="str">
        <f>A16</f>
        <v>Pentru seria de studenti 2019-2022</v>
      </c>
      <c r="B68" s="510"/>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c r="AR68" s="510"/>
      <c r="AS68" s="510"/>
      <c r="AT68" s="510"/>
      <c r="AU68" s="510"/>
      <c r="AV68" s="510"/>
      <c r="AW68" s="510"/>
    </row>
    <row r="69" spans="1:50" s="59" customFormat="1" ht="21" customHeight="1" thickTop="1" thickBot="1" x14ac:dyDescent="0.25">
      <c r="B69" s="488" t="str">
        <f>IF(ISBLANK($G$12),"ANUL III",CONCATENATE("ANUL III (20",$G$12+2,-20,$G$12+3,")"))</f>
        <v>ANUL III (2021-2022)</v>
      </c>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8" t="str">
        <f>IF(ISBLANK($G$12),"ANUL IV",CONCATENATE("ANUL IV (20",$G$12+3,-20,$G$12+4,")"))</f>
        <v>ANUL IV (2022-2023)</v>
      </c>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row>
    <row r="70" spans="1:50" s="58" customFormat="1" ht="21" customHeight="1" thickTop="1" thickBot="1" x14ac:dyDescent="0.3">
      <c r="A70" s="60"/>
      <c r="B70" s="488" t="s">
        <v>76</v>
      </c>
      <c r="C70" s="489"/>
      <c r="D70" s="489"/>
      <c r="E70" s="489"/>
      <c r="F70" s="489"/>
      <c r="G70" s="489"/>
      <c r="H70" s="489"/>
      <c r="I70" s="489"/>
      <c r="J70" s="489"/>
      <c r="K70" s="489"/>
      <c r="L70" s="489"/>
      <c r="M70" s="489"/>
      <c r="N70" s="488" t="s">
        <v>77</v>
      </c>
      <c r="O70" s="489"/>
      <c r="P70" s="489"/>
      <c r="Q70" s="489"/>
      <c r="R70" s="489"/>
      <c r="S70" s="489"/>
      <c r="T70" s="489"/>
      <c r="U70" s="489"/>
      <c r="V70" s="489"/>
      <c r="W70" s="489"/>
      <c r="X70" s="489"/>
      <c r="Y70" s="489"/>
      <c r="Z70" s="488" t="s">
        <v>78</v>
      </c>
      <c r="AA70" s="489"/>
      <c r="AB70" s="489"/>
      <c r="AC70" s="489"/>
      <c r="AD70" s="489"/>
      <c r="AE70" s="489"/>
      <c r="AF70" s="489"/>
      <c r="AG70" s="489"/>
      <c r="AH70" s="489"/>
      <c r="AI70" s="489"/>
      <c r="AJ70" s="489"/>
      <c r="AK70" s="489"/>
      <c r="AL70" s="488" t="s">
        <v>79</v>
      </c>
      <c r="AM70" s="489"/>
      <c r="AN70" s="489"/>
      <c r="AO70" s="489"/>
      <c r="AP70" s="489"/>
      <c r="AQ70" s="489"/>
      <c r="AR70" s="489"/>
      <c r="AS70" s="489"/>
      <c r="AT70" s="489"/>
      <c r="AU70" s="489"/>
      <c r="AV70" s="489"/>
      <c r="AW70" s="489"/>
    </row>
    <row r="71" spans="1:50" s="58" customFormat="1" ht="21" customHeight="1" thickTop="1" x14ac:dyDescent="0.25">
      <c r="A71" s="513" t="s">
        <v>53</v>
      </c>
      <c r="B71" s="501" t="s">
        <v>335</v>
      </c>
      <c r="C71" s="502"/>
      <c r="D71" s="502"/>
      <c r="E71" s="502"/>
      <c r="F71" s="502"/>
      <c r="G71" s="502"/>
      <c r="H71" s="502"/>
      <c r="I71" s="502"/>
      <c r="J71" s="502"/>
      <c r="K71" s="502"/>
      <c r="L71" s="502"/>
      <c r="M71" s="503"/>
      <c r="N71" s="501" t="s">
        <v>363</v>
      </c>
      <c r="O71" s="502"/>
      <c r="P71" s="502"/>
      <c r="Q71" s="502"/>
      <c r="R71" s="502"/>
      <c r="S71" s="502"/>
      <c r="T71" s="502"/>
      <c r="U71" s="502"/>
      <c r="V71" s="502"/>
      <c r="W71" s="502"/>
      <c r="X71" s="502"/>
      <c r="Y71" s="503"/>
      <c r="Z71" s="501" t="s">
        <v>331</v>
      </c>
      <c r="AA71" s="502"/>
      <c r="AB71" s="502"/>
      <c r="AC71" s="502"/>
      <c r="AD71" s="502"/>
      <c r="AE71" s="502"/>
      <c r="AF71" s="502"/>
      <c r="AG71" s="502"/>
      <c r="AH71" s="502"/>
      <c r="AI71" s="502"/>
      <c r="AJ71" s="502"/>
      <c r="AK71" s="503"/>
      <c r="AL71" s="501" t="s">
        <v>385</v>
      </c>
      <c r="AM71" s="502"/>
      <c r="AN71" s="502"/>
      <c r="AO71" s="502"/>
      <c r="AP71" s="502"/>
      <c r="AQ71" s="502"/>
      <c r="AR71" s="502"/>
      <c r="AS71" s="502"/>
      <c r="AT71" s="502"/>
      <c r="AU71" s="502"/>
      <c r="AV71" s="502"/>
      <c r="AW71" s="503"/>
    </row>
    <row r="72" spans="1:50" s="75" customFormat="1" ht="21" customHeight="1" x14ac:dyDescent="0.25">
      <c r="A72" s="514"/>
      <c r="B72" s="504"/>
      <c r="C72" s="505"/>
      <c r="D72" s="505"/>
      <c r="E72" s="505"/>
      <c r="F72" s="505"/>
      <c r="G72" s="505"/>
      <c r="H72" s="505"/>
      <c r="I72" s="505"/>
      <c r="J72" s="505"/>
      <c r="K72" s="505"/>
      <c r="L72" s="505"/>
      <c r="M72" s="506"/>
      <c r="N72" s="504"/>
      <c r="O72" s="505"/>
      <c r="P72" s="505"/>
      <c r="Q72" s="505"/>
      <c r="R72" s="505"/>
      <c r="S72" s="505"/>
      <c r="T72" s="505"/>
      <c r="U72" s="505"/>
      <c r="V72" s="505"/>
      <c r="W72" s="505"/>
      <c r="X72" s="505"/>
      <c r="Y72" s="506"/>
      <c r="Z72" s="504"/>
      <c r="AA72" s="505"/>
      <c r="AB72" s="505"/>
      <c r="AC72" s="505"/>
      <c r="AD72" s="505"/>
      <c r="AE72" s="505"/>
      <c r="AF72" s="505"/>
      <c r="AG72" s="505"/>
      <c r="AH72" s="505"/>
      <c r="AI72" s="505"/>
      <c r="AJ72" s="505"/>
      <c r="AK72" s="506"/>
      <c r="AL72" s="504"/>
      <c r="AM72" s="505"/>
      <c r="AN72" s="505"/>
      <c r="AO72" s="505"/>
      <c r="AP72" s="505"/>
      <c r="AQ72" s="505"/>
      <c r="AR72" s="505"/>
      <c r="AS72" s="505"/>
      <c r="AT72" s="505"/>
      <c r="AU72" s="505"/>
      <c r="AV72" s="505"/>
      <c r="AW72" s="506"/>
    </row>
    <row r="73" spans="1:50" s="75" customFormat="1" ht="21" customHeight="1" thickBot="1" x14ac:dyDescent="0.3">
      <c r="A73" s="515"/>
      <c r="B73" s="516" t="str">
        <f>IF(ISBLANK(B71),"",CONCATENATE($E$12,$F$12,".",$G$12,".","0",RIGHT($B$70,1),".",RIGHT(L73,1),$A71,IF(COUNTIFS(B71,"*op?ional*")=1,"-ij","")))</f>
        <v>L420.19.05.C1</v>
      </c>
      <c r="C73" s="517"/>
      <c r="D73" s="518"/>
      <c r="E73" s="364">
        <v>2</v>
      </c>
      <c r="F73" s="365" t="s">
        <v>295</v>
      </c>
      <c r="G73" s="366">
        <v>0</v>
      </c>
      <c r="H73" s="367">
        <v>14</v>
      </c>
      <c r="I73" s="367">
        <v>0</v>
      </c>
      <c r="J73" s="368">
        <v>0</v>
      </c>
      <c r="K73" s="365">
        <v>0</v>
      </c>
      <c r="L73" s="365" t="s">
        <v>7</v>
      </c>
      <c r="M73" s="187">
        <f>E73*25-G73-H73-I73-J73-K73</f>
        <v>36</v>
      </c>
      <c r="N73" s="516" t="str">
        <f>IF(ISBLANK(N71),"",CONCATENATE($E$12,$F$12,".",$G$12,".","0",RIGHT($N$70,1),".",RIGHT(X73,1),$A71,IF(COUNTIFS(N71,"*op?ional*")=1,"-ij","")))</f>
        <v>L420.19.06.C1</v>
      </c>
      <c r="O73" s="517"/>
      <c r="P73" s="518"/>
      <c r="Q73" s="364">
        <v>2</v>
      </c>
      <c r="R73" s="365" t="s">
        <v>295</v>
      </c>
      <c r="S73" s="366">
        <v>0</v>
      </c>
      <c r="T73" s="367">
        <v>14</v>
      </c>
      <c r="U73" s="367">
        <v>0</v>
      </c>
      <c r="V73" s="368">
        <v>0</v>
      </c>
      <c r="W73" s="365">
        <v>0</v>
      </c>
      <c r="X73" s="365" t="s">
        <v>7</v>
      </c>
      <c r="Y73" s="187">
        <f>Q73*25-S73-T73-U73-V73-W73</f>
        <v>36</v>
      </c>
      <c r="Z73" s="516" t="str">
        <f>IF(ISBLANK(Z71),"",CONCATENATE($E$12,$F$12,".",$G$12,".","0",RIGHT($Z$70,1),".",RIGHT(AJ73,1),$A71,IF(COUNTIFS(Z71,"*op?ional*")=1,"-ij","")))</f>
        <v>L420.19.07.S1-ij</v>
      </c>
      <c r="AA73" s="517"/>
      <c r="AB73" s="518"/>
      <c r="AC73" s="364">
        <v>5</v>
      </c>
      <c r="AD73" s="365" t="s">
        <v>5</v>
      </c>
      <c r="AE73" s="366">
        <v>0</v>
      </c>
      <c r="AF73" s="367">
        <v>0</v>
      </c>
      <c r="AG73" s="367">
        <v>14</v>
      </c>
      <c r="AH73" s="368">
        <v>14</v>
      </c>
      <c r="AI73" s="365">
        <v>0</v>
      </c>
      <c r="AJ73" s="429" t="s">
        <v>59</v>
      </c>
      <c r="AK73" s="187">
        <f>AC73*25-AE73-AF73-AG73-AH73-AI73</f>
        <v>97</v>
      </c>
      <c r="AL73" s="516" t="str">
        <f>IF(ISBLANK(AL71), "",CONCATENATE($E$12,$F$12,".",$G$12,".","0",RIGHT($AL$70,1),".",RIGHT(AV73,1),$A71,IF(COUNTIFS(AL71,"*op?ional*")=1,"-ij","")))</f>
        <v>L420.19.08.S1-ij</v>
      </c>
      <c r="AM73" s="517"/>
      <c r="AN73" s="518"/>
      <c r="AO73" s="364">
        <v>4</v>
      </c>
      <c r="AP73" s="365" t="s">
        <v>5</v>
      </c>
      <c r="AQ73" s="366">
        <v>0</v>
      </c>
      <c r="AR73" s="367">
        <v>0</v>
      </c>
      <c r="AS73" s="367">
        <v>28</v>
      </c>
      <c r="AT73" s="368">
        <v>0</v>
      </c>
      <c r="AU73" s="365">
        <v>0</v>
      </c>
      <c r="AV73" s="429" t="s">
        <v>59</v>
      </c>
      <c r="AW73" s="187">
        <f>AO73*25-AQ73-AR73-AS73-AT73-AU73</f>
        <v>72</v>
      </c>
      <c r="AX73" s="75" t="s">
        <v>31</v>
      </c>
    </row>
    <row r="74" spans="1:50" s="75" customFormat="1" ht="21" customHeight="1" thickTop="1" x14ac:dyDescent="0.25">
      <c r="A74" s="513" t="s">
        <v>55</v>
      </c>
      <c r="B74" s="501" t="s">
        <v>322</v>
      </c>
      <c r="C74" s="502"/>
      <c r="D74" s="502"/>
      <c r="E74" s="502"/>
      <c r="F74" s="502"/>
      <c r="G74" s="502"/>
      <c r="H74" s="502"/>
      <c r="I74" s="502"/>
      <c r="J74" s="502"/>
      <c r="K74" s="502"/>
      <c r="L74" s="502"/>
      <c r="M74" s="503"/>
      <c r="N74" s="501" t="s">
        <v>327</v>
      </c>
      <c r="O74" s="502"/>
      <c r="P74" s="502"/>
      <c r="Q74" s="502"/>
      <c r="R74" s="502"/>
      <c r="S74" s="502"/>
      <c r="T74" s="502"/>
      <c r="U74" s="502"/>
      <c r="V74" s="502"/>
      <c r="W74" s="502"/>
      <c r="X74" s="502"/>
      <c r="Y74" s="503"/>
      <c r="Z74" s="501" t="s">
        <v>332</v>
      </c>
      <c r="AA74" s="502"/>
      <c r="AB74" s="502"/>
      <c r="AC74" s="502"/>
      <c r="AD74" s="502"/>
      <c r="AE74" s="502"/>
      <c r="AF74" s="502"/>
      <c r="AG74" s="502"/>
      <c r="AH74" s="502"/>
      <c r="AI74" s="502"/>
      <c r="AJ74" s="502"/>
      <c r="AK74" s="503"/>
      <c r="AL74" s="501" t="s">
        <v>386</v>
      </c>
      <c r="AM74" s="502"/>
      <c r="AN74" s="502"/>
      <c r="AO74" s="502"/>
      <c r="AP74" s="502"/>
      <c r="AQ74" s="502"/>
      <c r="AR74" s="502"/>
      <c r="AS74" s="502"/>
      <c r="AT74" s="502"/>
      <c r="AU74" s="502"/>
      <c r="AV74" s="502"/>
      <c r="AW74" s="503"/>
    </row>
    <row r="75" spans="1:50" s="75" customFormat="1" ht="21" customHeight="1" x14ac:dyDescent="0.25">
      <c r="A75" s="514"/>
      <c r="B75" s="504"/>
      <c r="C75" s="505"/>
      <c r="D75" s="505"/>
      <c r="E75" s="505"/>
      <c r="F75" s="505"/>
      <c r="G75" s="505"/>
      <c r="H75" s="505"/>
      <c r="I75" s="505"/>
      <c r="J75" s="505"/>
      <c r="K75" s="505"/>
      <c r="L75" s="505"/>
      <c r="M75" s="506"/>
      <c r="N75" s="504"/>
      <c r="O75" s="505"/>
      <c r="P75" s="505"/>
      <c r="Q75" s="505"/>
      <c r="R75" s="505"/>
      <c r="S75" s="505"/>
      <c r="T75" s="505"/>
      <c r="U75" s="505"/>
      <c r="V75" s="505"/>
      <c r="W75" s="505"/>
      <c r="X75" s="505"/>
      <c r="Y75" s="506"/>
      <c r="Z75" s="504"/>
      <c r="AA75" s="505"/>
      <c r="AB75" s="505"/>
      <c r="AC75" s="505"/>
      <c r="AD75" s="505"/>
      <c r="AE75" s="505"/>
      <c r="AF75" s="505"/>
      <c r="AG75" s="505"/>
      <c r="AH75" s="505"/>
      <c r="AI75" s="505"/>
      <c r="AJ75" s="505"/>
      <c r="AK75" s="506"/>
      <c r="AL75" s="504"/>
      <c r="AM75" s="505"/>
      <c r="AN75" s="505"/>
      <c r="AO75" s="505"/>
      <c r="AP75" s="505"/>
      <c r="AQ75" s="505"/>
      <c r="AR75" s="505"/>
      <c r="AS75" s="505"/>
      <c r="AT75" s="505"/>
      <c r="AU75" s="505"/>
      <c r="AV75" s="505"/>
      <c r="AW75" s="506"/>
    </row>
    <row r="76" spans="1:50" s="75" customFormat="1" ht="21" customHeight="1" thickBot="1" x14ac:dyDescent="0.3">
      <c r="A76" s="515"/>
      <c r="B76" s="516" t="str">
        <f>IF(ISBLANK(B74),"",CONCATENATE($E$12,$F$12,".",$G$12,".","0",RIGHT($B$70,1),".",RIGHT(L76,1),$A74,IF(COUNTIFS(B74,"*op?ional*")=1,"-ij","")))</f>
        <v>L420.19.05.D2</v>
      </c>
      <c r="C76" s="517"/>
      <c r="D76" s="518"/>
      <c r="E76" s="364">
        <v>3</v>
      </c>
      <c r="F76" s="365" t="s">
        <v>295</v>
      </c>
      <c r="G76" s="366">
        <v>0</v>
      </c>
      <c r="H76" s="367">
        <v>0</v>
      </c>
      <c r="I76" s="367">
        <v>14</v>
      </c>
      <c r="J76" s="368">
        <v>0</v>
      </c>
      <c r="K76" s="365">
        <v>0</v>
      </c>
      <c r="L76" s="365" t="s">
        <v>54</v>
      </c>
      <c r="M76" s="187">
        <f>E76*25-G76-H76-I76-J76-K76</f>
        <v>61</v>
      </c>
      <c r="N76" s="516" t="str">
        <f>IF(ISBLANK(N74),"",CONCATENATE($E$12,$F$12,".",$G$12,".","0",RIGHT($N$70,1),".",RIGHT(X76,1),$A74,IF(COUNTIFS(N74,"*op?ional*")=1,"-ij","")))</f>
        <v>L420.19.06.D2</v>
      </c>
      <c r="O76" s="517"/>
      <c r="P76" s="518"/>
      <c r="Q76" s="364">
        <v>5</v>
      </c>
      <c r="R76" s="365" t="s">
        <v>5</v>
      </c>
      <c r="S76" s="366">
        <v>0</v>
      </c>
      <c r="T76" s="367">
        <v>0</v>
      </c>
      <c r="U76" s="367">
        <v>14</v>
      </c>
      <c r="V76" s="368">
        <v>14</v>
      </c>
      <c r="W76" s="365">
        <v>0</v>
      </c>
      <c r="X76" s="365" t="s">
        <v>54</v>
      </c>
      <c r="Y76" s="187">
        <f>Q76*25-S76-T76-U76-V76-W76</f>
        <v>97</v>
      </c>
      <c r="Z76" s="516" t="str">
        <f>IF(ISBLANK(Z74),"",CONCATENATE($E$12,$F$12,".",$G$12,".","0",RIGHT($Z$70,1),".",RIGHT(AJ76,1),$A74,IF(COUNTIFS(Z74,"*op?ional*")=1,"-ij","")))</f>
        <v>L420.19.07.S2-ij</v>
      </c>
      <c r="AA76" s="517"/>
      <c r="AB76" s="518"/>
      <c r="AC76" s="364">
        <v>5</v>
      </c>
      <c r="AD76" s="365" t="s">
        <v>5</v>
      </c>
      <c r="AE76" s="366">
        <v>0</v>
      </c>
      <c r="AF76" s="367">
        <v>0</v>
      </c>
      <c r="AG76" s="367">
        <v>28</v>
      </c>
      <c r="AH76" s="368">
        <v>0</v>
      </c>
      <c r="AI76" s="365">
        <v>0</v>
      </c>
      <c r="AJ76" s="429" t="s">
        <v>59</v>
      </c>
      <c r="AK76" s="187">
        <f>AC76*25-AE76-AF76-AG76-AH76-AI76</f>
        <v>97</v>
      </c>
      <c r="AL76" s="516" t="str">
        <f>IF(ISBLANK(AL74), "",CONCATENATE($E$12,$F$12,".",$G$12,".","0",RIGHT($AL$70,1),".",RIGHT(AV76,1),$A74,IF(COUNTIFS(AL74,"*op?ional*")=1,"-ij","")))</f>
        <v>L420.19.08.S2-ij</v>
      </c>
      <c r="AM76" s="517"/>
      <c r="AN76" s="518"/>
      <c r="AO76" s="364">
        <v>4</v>
      </c>
      <c r="AP76" s="365" t="s">
        <v>5</v>
      </c>
      <c r="AQ76" s="366">
        <v>0</v>
      </c>
      <c r="AR76" s="367">
        <v>0</v>
      </c>
      <c r="AS76" s="367">
        <v>28</v>
      </c>
      <c r="AT76" s="368">
        <v>0</v>
      </c>
      <c r="AU76" s="365">
        <v>0</v>
      </c>
      <c r="AV76" s="429" t="s">
        <v>59</v>
      </c>
      <c r="AW76" s="187">
        <f>AO76*25-AQ76-AR76-AS76-AT76-AU76</f>
        <v>72</v>
      </c>
    </row>
    <row r="77" spans="1:50" s="75" customFormat="1" ht="21" customHeight="1" thickTop="1" x14ac:dyDescent="0.25">
      <c r="A77" s="513" t="s">
        <v>56</v>
      </c>
      <c r="B77" s="501" t="s">
        <v>323</v>
      </c>
      <c r="C77" s="502"/>
      <c r="D77" s="502"/>
      <c r="E77" s="502"/>
      <c r="F77" s="502"/>
      <c r="G77" s="502"/>
      <c r="H77" s="502"/>
      <c r="I77" s="502"/>
      <c r="J77" s="502"/>
      <c r="K77" s="502"/>
      <c r="L77" s="502"/>
      <c r="M77" s="503"/>
      <c r="N77" s="501" t="s">
        <v>381</v>
      </c>
      <c r="O77" s="502"/>
      <c r="P77" s="502"/>
      <c r="Q77" s="502"/>
      <c r="R77" s="502"/>
      <c r="S77" s="502"/>
      <c r="T77" s="502"/>
      <c r="U77" s="502"/>
      <c r="V77" s="502"/>
      <c r="W77" s="502"/>
      <c r="X77" s="502"/>
      <c r="Y77" s="503"/>
      <c r="Z77" s="501" t="s">
        <v>333</v>
      </c>
      <c r="AA77" s="502"/>
      <c r="AB77" s="502"/>
      <c r="AC77" s="502"/>
      <c r="AD77" s="502"/>
      <c r="AE77" s="502"/>
      <c r="AF77" s="502"/>
      <c r="AG77" s="502"/>
      <c r="AH77" s="502"/>
      <c r="AI77" s="502"/>
      <c r="AJ77" s="502"/>
      <c r="AK77" s="503"/>
      <c r="AL77" s="501" t="s">
        <v>387</v>
      </c>
      <c r="AM77" s="502"/>
      <c r="AN77" s="502"/>
      <c r="AO77" s="502"/>
      <c r="AP77" s="502"/>
      <c r="AQ77" s="502"/>
      <c r="AR77" s="502"/>
      <c r="AS77" s="502"/>
      <c r="AT77" s="502"/>
      <c r="AU77" s="502"/>
      <c r="AV77" s="502"/>
      <c r="AW77" s="503"/>
    </row>
    <row r="78" spans="1:50" s="75" customFormat="1" ht="21" customHeight="1" x14ac:dyDescent="0.25">
      <c r="A78" s="514"/>
      <c r="B78" s="504"/>
      <c r="C78" s="505"/>
      <c r="D78" s="505"/>
      <c r="E78" s="505"/>
      <c r="F78" s="505"/>
      <c r="G78" s="505"/>
      <c r="H78" s="505"/>
      <c r="I78" s="505"/>
      <c r="J78" s="505"/>
      <c r="K78" s="505"/>
      <c r="L78" s="505"/>
      <c r="M78" s="506"/>
      <c r="N78" s="504"/>
      <c r="O78" s="505"/>
      <c r="P78" s="505"/>
      <c r="Q78" s="505"/>
      <c r="R78" s="505"/>
      <c r="S78" s="505"/>
      <c r="T78" s="505"/>
      <c r="U78" s="505"/>
      <c r="V78" s="505"/>
      <c r="W78" s="505"/>
      <c r="X78" s="505"/>
      <c r="Y78" s="506"/>
      <c r="Z78" s="504"/>
      <c r="AA78" s="505"/>
      <c r="AB78" s="505"/>
      <c r="AC78" s="505"/>
      <c r="AD78" s="505"/>
      <c r="AE78" s="505"/>
      <c r="AF78" s="505"/>
      <c r="AG78" s="505"/>
      <c r="AH78" s="505"/>
      <c r="AI78" s="505"/>
      <c r="AJ78" s="505"/>
      <c r="AK78" s="506"/>
      <c r="AL78" s="504"/>
      <c r="AM78" s="505"/>
      <c r="AN78" s="505"/>
      <c r="AO78" s="505"/>
      <c r="AP78" s="505"/>
      <c r="AQ78" s="505"/>
      <c r="AR78" s="505"/>
      <c r="AS78" s="505"/>
      <c r="AT78" s="505"/>
      <c r="AU78" s="505"/>
      <c r="AV78" s="505"/>
      <c r="AW78" s="506"/>
    </row>
    <row r="79" spans="1:50" s="75" customFormat="1" ht="21" customHeight="1" thickBot="1" x14ac:dyDescent="0.3">
      <c r="A79" s="515"/>
      <c r="B79" s="516" t="str">
        <f>IF(ISBLANK(B77),"",CONCATENATE($E$12,$F$12,".",$G$12,".","0",RIGHT($B$70,1),".",RIGHT(L79,1),$A77,IF(COUNTIFS(B77,"*op?ional*")=1,"-ij","")))</f>
        <v>L420.19.05.D3</v>
      </c>
      <c r="C79" s="517"/>
      <c r="D79" s="518"/>
      <c r="E79" s="364">
        <v>6</v>
      </c>
      <c r="F79" s="365" t="s">
        <v>5</v>
      </c>
      <c r="G79" s="366">
        <v>0</v>
      </c>
      <c r="H79" s="367">
        <v>0</v>
      </c>
      <c r="I79" s="367">
        <v>42</v>
      </c>
      <c r="J79" s="368">
        <v>0</v>
      </c>
      <c r="K79" s="365">
        <v>0</v>
      </c>
      <c r="L79" s="365" t="s">
        <v>54</v>
      </c>
      <c r="M79" s="187">
        <f>E79*25-G79-H79-I79-J79-K79</f>
        <v>108</v>
      </c>
      <c r="N79" s="516" t="str">
        <f>IF(ISBLANK(N77),"",CONCATENATE($E$12,$F$12,".",$G$12,".","0",RIGHT($N$70,1),".",RIGHT(X79,1),$A77,IF(COUNTIFS(N77,"*op?ional*")=1,"-ij","")))</f>
        <v>L420.19.06.D3</v>
      </c>
      <c r="O79" s="517"/>
      <c r="P79" s="518"/>
      <c r="Q79" s="364">
        <v>5</v>
      </c>
      <c r="R79" s="365" t="s">
        <v>295</v>
      </c>
      <c r="S79" s="366">
        <v>0</v>
      </c>
      <c r="T79" s="367">
        <v>0</v>
      </c>
      <c r="U79" s="367">
        <v>28</v>
      </c>
      <c r="V79" s="368">
        <v>0</v>
      </c>
      <c r="W79" s="365">
        <v>0</v>
      </c>
      <c r="X79" s="365" t="s">
        <v>54</v>
      </c>
      <c r="Y79" s="187">
        <f>Q79*25-S79-T79-U79-V79-W79</f>
        <v>97</v>
      </c>
      <c r="Z79" s="516" t="str">
        <f>IF(ISBLANK(Z77),"",CONCATENATE($E$12,$F$12,".",$G$12,".","0",RIGHT($Z$70,1),".",RIGHT(AJ79,1),$A77,IF(COUNTIFS(Z77,"*op?ional*")=1,"-ij","")))</f>
        <v>L420.19.07.S3-ij</v>
      </c>
      <c r="AA79" s="517"/>
      <c r="AB79" s="518"/>
      <c r="AC79" s="364">
        <v>4</v>
      </c>
      <c r="AD79" s="365" t="s">
        <v>295</v>
      </c>
      <c r="AE79" s="366">
        <v>0</v>
      </c>
      <c r="AF79" s="367">
        <v>0</v>
      </c>
      <c r="AG79" s="367">
        <v>7</v>
      </c>
      <c r="AH79" s="368">
        <v>21</v>
      </c>
      <c r="AI79" s="365">
        <v>0</v>
      </c>
      <c r="AJ79" s="429" t="s">
        <v>59</v>
      </c>
      <c r="AK79" s="187">
        <f>AC79*25-AE79-AF79-AG79-AH79-AI79</f>
        <v>72</v>
      </c>
      <c r="AL79" s="516" t="str">
        <f>IF(ISBLANK(AL77), "",CONCATENATE($E$12,$F$12,".",$G$12,".","0",RIGHT($AL$70,1),".",RIGHT(AV79,1),$A77,IF(COUNTIFS(AL77,"*op?ional*")=1,"-ij","")))</f>
        <v>L420.19.08.S3-ij</v>
      </c>
      <c r="AM79" s="517"/>
      <c r="AN79" s="518"/>
      <c r="AO79" s="364">
        <v>4</v>
      </c>
      <c r="AP79" s="365" t="s">
        <v>5</v>
      </c>
      <c r="AQ79" s="366">
        <v>0</v>
      </c>
      <c r="AR79" s="367">
        <v>0</v>
      </c>
      <c r="AS79" s="367">
        <v>14</v>
      </c>
      <c r="AT79" s="368">
        <v>0</v>
      </c>
      <c r="AU79" s="365">
        <v>0</v>
      </c>
      <c r="AV79" s="429" t="s">
        <v>59</v>
      </c>
      <c r="AW79" s="187">
        <f>AO79*25-AQ79-AR79-AS79-AT79-AU79</f>
        <v>86</v>
      </c>
    </row>
    <row r="80" spans="1:50" s="75" customFormat="1" ht="21" customHeight="1" thickTop="1" x14ac:dyDescent="0.25">
      <c r="A80" s="513" t="s">
        <v>57</v>
      </c>
      <c r="B80" s="501" t="s">
        <v>360</v>
      </c>
      <c r="C80" s="502"/>
      <c r="D80" s="502"/>
      <c r="E80" s="502"/>
      <c r="F80" s="502"/>
      <c r="G80" s="502"/>
      <c r="H80" s="502"/>
      <c r="I80" s="502"/>
      <c r="J80" s="502"/>
      <c r="K80" s="502"/>
      <c r="L80" s="502"/>
      <c r="M80" s="503"/>
      <c r="N80" s="501" t="s">
        <v>326</v>
      </c>
      <c r="O80" s="502"/>
      <c r="P80" s="502"/>
      <c r="Q80" s="502"/>
      <c r="R80" s="502"/>
      <c r="S80" s="502"/>
      <c r="T80" s="502"/>
      <c r="U80" s="502"/>
      <c r="V80" s="502"/>
      <c r="W80" s="502"/>
      <c r="X80" s="502"/>
      <c r="Y80" s="503"/>
      <c r="Z80" s="501" t="s">
        <v>334</v>
      </c>
      <c r="AA80" s="502"/>
      <c r="AB80" s="502"/>
      <c r="AC80" s="502"/>
      <c r="AD80" s="502"/>
      <c r="AE80" s="502"/>
      <c r="AF80" s="502"/>
      <c r="AG80" s="502"/>
      <c r="AH80" s="502"/>
      <c r="AI80" s="502"/>
      <c r="AJ80" s="502"/>
      <c r="AK80" s="503"/>
      <c r="AL80" s="501" t="s">
        <v>388</v>
      </c>
      <c r="AM80" s="502"/>
      <c r="AN80" s="502"/>
      <c r="AO80" s="502"/>
      <c r="AP80" s="502"/>
      <c r="AQ80" s="502"/>
      <c r="AR80" s="502"/>
      <c r="AS80" s="502"/>
      <c r="AT80" s="502"/>
      <c r="AU80" s="502"/>
      <c r="AV80" s="502"/>
      <c r="AW80" s="503"/>
    </row>
    <row r="81" spans="1:49" s="75" customFormat="1" ht="21" customHeight="1" x14ac:dyDescent="0.25">
      <c r="A81" s="514"/>
      <c r="B81" s="504"/>
      <c r="C81" s="505"/>
      <c r="D81" s="505"/>
      <c r="E81" s="505"/>
      <c r="F81" s="505"/>
      <c r="G81" s="505"/>
      <c r="H81" s="505"/>
      <c r="I81" s="505"/>
      <c r="J81" s="505"/>
      <c r="K81" s="505"/>
      <c r="L81" s="505"/>
      <c r="M81" s="506"/>
      <c r="N81" s="504"/>
      <c r="O81" s="505"/>
      <c r="P81" s="505"/>
      <c r="Q81" s="505"/>
      <c r="R81" s="505"/>
      <c r="S81" s="505"/>
      <c r="T81" s="505"/>
      <c r="U81" s="505"/>
      <c r="V81" s="505"/>
      <c r="W81" s="505"/>
      <c r="X81" s="505"/>
      <c r="Y81" s="506"/>
      <c r="Z81" s="504"/>
      <c r="AA81" s="505"/>
      <c r="AB81" s="505"/>
      <c r="AC81" s="505"/>
      <c r="AD81" s="505"/>
      <c r="AE81" s="505"/>
      <c r="AF81" s="505"/>
      <c r="AG81" s="505"/>
      <c r="AH81" s="505"/>
      <c r="AI81" s="505"/>
      <c r="AJ81" s="505"/>
      <c r="AK81" s="506"/>
      <c r="AL81" s="504"/>
      <c r="AM81" s="505"/>
      <c r="AN81" s="505"/>
      <c r="AO81" s="505"/>
      <c r="AP81" s="505"/>
      <c r="AQ81" s="505"/>
      <c r="AR81" s="505"/>
      <c r="AS81" s="505"/>
      <c r="AT81" s="505"/>
      <c r="AU81" s="505"/>
      <c r="AV81" s="505"/>
      <c r="AW81" s="506"/>
    </row>
    <row r="82" spans="1:49" s="75" customFormat="1" ht="21" customHeight="1" thickBot="1" x14ac:dyDescent="0.3">
      <c r="A82" s="515"/>
      <c r="B82" s="516" t="str">
        <f>IF(ISBLANK(B80),"",CONCATENATE($E$12,$F$12,".",$G$12,".","0",RIGHT($B$70,1),".",RIGHT(L82,1),$A80,IF(COUNTIFS(B80,"*op?ional*")=1,"-ij","")))</f>
        <v>L420.19.05.D4</v>
      </c>
      <c r="C82" s="517"/>
      <c r="D82" s="518"/>
      <c r="E82" s="364">
        <v>3</v>
      </c>
      <c r="F82" s="365" t="s">
        <v>5</v>
      </c>
      <c r="G82" s="366">
        <v>0</v>
      </c>
      <c r="H82" s="367">
        <v>0</v>
      </c>
      <c r="I82" s="367">
        <v>14</v>
      </c>
      <c r="J82" s="368">
        <v>0</v>
      </c>
      <c r="K82" s="365">
        <v>0</v>
      </c>
      <c r="L82" s="429" t="s">
        <v>54</v>
      </c>
      <c r="M82" s="187">
        <f>E82*25-G82-H82-I82-J82-K82</f>
        <v>61</v>
      </c>
      <c r="N82" s="516" t="str">
        <f>IF(ISBLANK(N80),"",CONCATENATE($E$12,$F$12,".",$G$12,".","0",RIGHT($N$70,1),".",RIGHT(X82,1),$A80,IF(COUNTIFS(N80,"*op?ional*")=1,"-ij","")))</f>
        <v>L420.19.06.S4-ij</v>
      </c>
      <c r="O82" s="517"/>
      <c r="P82" s="518"/>
      <c r="Q82" s="364">
        <v>3</v>
      </c>
      <c r="R82" s="365" t="s">
        <v>295</v>
      </c>
      <c r="S82" s="366">
        <v>0</v>
      </c>
      <c r="T82" s="367">
        <v>0</v>
      </c>
      <c r="U82" s="367">
        <v>0</v>
      </c>
      <c r="V82" s="368">
        <v>28</v>
      </c>
      <c r="W82" s="365">
        <v>0</v>
      </c>
      <c r="X82" s="429" t="s">
        <v>59</v>
      </c>
      <c r="Y82" s="187">
        <f>Q82*25-S82-T82-U82-V82-W82</f>
        <v>47</v>
      </c>
      <c r="Z82" s="516" t="str">
        <f>IF(ISBLANK(Z80),"",CONCATENATE($E$12,$F$12,".",$G$12,".","0",RIGHT($Z$70,1),".",RIGHT(AJ82,1),$A80,IF(COUNTIFS(Z80,"*op?ional*")=1,"-ij","")))</f>
        <v>L420.19.07.S4-ij</v>
      </c>
      <c r="AA82" s="517"/>
      <c r="AB82" s="518"/>
      <c r="AC82" s="364">
        <v>5</v>
      </c>
      <c r="AD82" s="365" t="s">
        <v>5</v>
      </c>
      <c r="AE82" s="366">
        <v>0</v>
      </c>
      <c r="AF82" s="367">
        <v>0</v>
      </c>
      <c r="AG82" s="367">
        <v>14</v>
      </c>
      <c r="AH82" s="368">
        <v>14</v>
      </c>
      <c r="AI82" s="365">
        <v>0</v>
      </c>
      <c r="AJ82" s="429" t="s">
        <v>59</v>
      </c>
      <c r="AK82" s="187">
        <f>AC82*25-AE82-AF82-AG82-AH82-AI82</f>
        <v>97</v>
      </c>
      <c r="AL82" s="516" t="str">
        <f>IF(ISBLANK(AL80), "",CONCATENATE($E$12,$F$12,".",$G$12,".","0",RIGHT($AL$70,1),".",RIGHT(AV82,1),$A80,IF(COUNTIFS(AL80,"*op?ional*")=1,"-ij","")))</f>
        <v>L420.19.08.S4-ij</v>
      </c>
      <c r="AM82" s="517"/>
      <c r="AN82" s="518"/>
      <c r="AO82" s="364">
        <v>3</v>
      </c>
      <c r="AP82" s="365" t="s">
        <v>5</v>
      </c>
      <c r="AQ82" s="366">
        <v>0</v>
      </c>
      <c r="AR82" s="367">
        <v>0</v>
      </c>
      <c r="AS82" s="367">
        <v>0</v>
      </c>
      <c r="AT82" s="368">
        <v>14</v>
      </c>
      <c r="AU82" s="365">
        <v>0</v>
      </c>
      <c r="AV82" s="429" t="s">
        <v>59</v>
      </c>
      <c r="AW82" s="187">
        <f>AO82*25-AQ82-AR82-AS82-AT82-AU82</f>
        <v>61</v>
      </c>
    </row>
    <row r="83" spans="1:49" s="75" customFormat="1" ht="21" customHeight="1" thickTop="1" x14ac:dyDescent="0.25">
      <c r="A83" s="513" t="s">
        <v>58</v>
      </c>
      <c r="B83" s="501" t="s">
        <v>380</v>
      </c>
      <c r="C83" s="502"/>
      <c r="D83" s="502"/>
      <c r="E83" s="502"/>
      <c r="F83" s="502"/>
      <c r="G83" s="502"/>
      <c r="H83" s="502"/>
      <c r="I83" s="502"/>
      <c r="J83" s="502"/>
      <c r="K83" s="502"/>
      <c r="L83" s="502"/>
      <c r="M83" s="503"/>
      <c r="N83" s="501" t="s">
        <v>328</v>
      </c>
      <c r="O83" s="502"/>
      <c r="P83" s="502"/>
      <c r="Q83" s="502"/>
      <c r="R83" s="502"/>
      <c r="S83" s="502"/>
      <c r="T83" s="502"/>
      <c r="U83" s="502"/>
      <c r="V83" s="502"/>
      <c r="W83" s="502"/>
      <c r="X83" s="502"/>
      <c r="Y83" s="503"/>
      <c r="Z83" s="501" t="s">
        <v>364</v>
      </c>
      <c r="AA83" s="502"/>
      <c r="AB83" s="502"/>
      <c r="AC83" s="502"/>
      <c r="AD83" s="502"/>
      <c r="AE83" s="502"/>
      <c r="AF83" s="502"/>
      <c r="AG83" s="502"/>
      <c r="AH83" s="502"/>
      <c r="AI83" s="502"/>
      <c r="AJ83" s="502"/>
      <c r="AK83" s="503"/>
      <c r="AL83" s="501" t="s">
        <v>389</v>
      </c>
      <c r="AM83" s="502"/>
      <c r="AN83" s="502"/>
      <c r="AO83" s="502"/>
      <c r="AP83" s="502"/>
      <c r="AQ83" s="502"/>
      <c r="AR83" s="502"/>
      <c r="AS83" s="502"/>
      <c r="AT83" s="502"/>
      <c r="AU83" s="502"/>
      <c r="AV83" s="502"/>
      <c r="AW83" s="503"/>
    </row>
    <row r="84" spans="1:49" s="75" customFormat="1" ht="21" customHeight="1" x14ac:dyDescent="0.25">
      <c r="A84" s="514"/>
      <c r="B84" s="504"/>
      <c r="C84" s="505"/>
      <c r="D84" s="505"/>
      <c r="E84" s="505"/>
      <c r="F84" s="505"/>
      <c r="G84" s="505"/>
      <c r="H84" s="505"/>
      <c r="I84" s="505"/>
      <c r="J84" s="505"/>
      <c r="K84" s="505"/>
      <c r="L84" s="505"/>
      <c r="M84" s="506"/>
      <c r="N84" s="504"/>
      <c r="O84" s="505"/>
      <c r="P84" s="505"/>
      <c r="Q84" s="505"/>
      <c r="R84" s="505"/>
      <c r="S84" s="505"/>
      <c r="T84" s="505"/>
      <c r="U84" s="505"/>
      <c r="V84" s="505"/>
      <c r="W84" s="505"/>
      <c r="X84" s="505"/>
      <c r="Y84" s="506"/>
      <c r="Z84" s="504"/>
      <c r="AA84" s="505"/>
      <c r="AB84" s="505"/>
      <c r="AC84" s="505"/>
      <c r="AD84" s="505"/>
      <c r="AE84" s="505"/>
      <c r="AF84" s="505"/>
      <c r="AG84" s="505"/>
      <c r="AH84" s="505"/>
      <c r="AI84" s="505"/>
      <c r="AJ84" s="505"/>
      <c r="AK84" s="506"/>
      <c r="AL84" s="504"/>
      <c r="AM84" s="505"/>
      <c r="AN84" s="505"/>
      <c r="AO84" s="505"/>
      <c r="AP84" s="505"/>
      <c r="AQ84" s="505"/>
      <c r="AR84" s="505"/>
      <c r="AS84" s="505"/>
      <c r="AT84" s="505"/>
      <c r="AU84" s="505"/>
      <c r="AV84" s="505"/>
      <c r="AW84" s="506"/>
    </row>
    <row r="85" spans="1:49" s="75" customFormat="1" ht="21" customHeight="1" thickBot="1" x14ac:dyDescent="0.3">
      <c r="A85" s="515"/>
      <c r="B85" s="516" t="str">
        <f>IF(ISBLANK(B83),"",CONCATENATE($E$12,$F$12,".",$G$12,".","0",RIGHT($B$70,1),".",RIGHT(L85,1),$A83,IF(COUNTIFS(B83,"*op?ional*")=1,"-ij","")))</f>
        <v>L420.19.05.S5</v>
      </c>
      <c r="C85" s="517"/>
      <c r="D85" s="518"/>
      <c r="E85" s="364">
        <v>6</v>
      </c>
      <c r="F85" s="365" t="s">
        <v>5</v>
      </c>
      <c r="G85" s="366">
        <v>0</v>
      </c>
      <c r="H85" s="367">
        <v>0</v>
      </c>
      <c r="I85" s="367">
        <v>28</v>
      </c>
      <c r="J85" s="368">
        <v>14</v>
      </c>
      <c r="K85" s="365">
        <v>0</v>
      </c>
      <c r="L85" s="429" t="s">
        <v>59</v>
      </c>
      <c r="M85" s="187">
        <f>E85*25-G85-H85-I85-J85-K85</f>
        <v>108</v>
      </c>
      <c r="N85" s="516" t="str">
        <f>IF(ISBLANK(N83),"",CONCATENATE($E$12,$F$12,".",$G$12,".","0",RIGHT($N$70,1),".",RIGHT(X85,1),$A83,IF(COUNTIFS(N83,"*op?ional*")=1,"-ij","")))</f>
        <v>L420.19.06.D5-ij</v>
      </c>
      <c r="O85" s="517"/>
      <c r="P85" s="518"/>
      <c r="Q85" s="364">
        <v>4</v>
      </c>
      <c r="R85" s="365" t="s">
        <v>5</v>
      </c>
      <c r="S85" s="366">
        <v>0</v>
      </c>
      <c r="T85" s="367">
        <v>0</v>
      </c>
      <c r="U85" s="367">
        <v>28</v>
      </c>
      <c r="V85" s="368">
        <v>0</v>
      </c>
      <c r="W85" s="365">
        <v>0</v>
      </c>
      <c r="X85" s="429" t="s">
        <v>54</v>
      </c>
      <c r="Y85" s="187">
        <f>Q85*25-S85-T85-U85-V85-W85</f>
        <v>72</v>
      </c>
      <c r="Z85" s="516" t="str">
        <f>IF(ISBLANK(Z83),"",CONCATENATE($E$12,$F$12,".",$G$12,".","0",RIGHT($Z$70,1),".",RIGHT(AJ85,1),$A83,IF(COUNTIFS(Z83,"*op?ional*")=1,"-ij","")))</f>
        <v>L420.19.07.C5</v>
      </c>
      <c r="AA85" s="517"/>
      <c r="AB85" s="518"/>
      <c r="AC85" s="364">
        <v>2</v>
      </c>
      <c r="AD85" s="365" t="s">
        <v>295</v>
      </c>
      <c r="AE85" s="366">
        <v>0</v>
      </c>
      <c r="AF85" s="367">
        <v>14</v>
      </c>
      <c r="AG85" s="367">
        <v>0</v>
      </c>
      <c r="AH85" s="368">
        <v>0</v>
      </c>
      <c r="AI85" s="365">
        <v>0</v>
      </c>
      <c r="AJ85" s="429" t="s">
        <v>7</v>
      </c>
      <c r="AK85" s="187">
        <f>AC85*25-AE85-AF85-AG85-AH85-AI85</f>
        <v>36</v>
      </c>
      <c r="AL85" s="516" t="str">
        <f>IF(ISBLANK(AL83), "",CONCATENATE($E$12,$F$12,".",$G$12,".","0",RIGHT($AL$70,1),".",RIGHT(AV85,1),$A83,IF(COUNTIFS(AL83,"*op?ional*")=1,"-ij","")))</f>
        <v>L420.19.08.S5</v>
      </c>
      <c r="AM85" s="517"/>
      <c r="AN85" s="518"/>
      <c r="AO85" s="364">
        <v>5</v>
      </c>
      <c r="AP85" s="365" t="s">
        <v>295</v>
      </c>
      <c r="AQ85" s="366">
        <v>0</v>
      </c>
      <c r="AR85" s="367">
        <v>0</v>
      </c>
      <c r="AS85" s="367">
        <v>0</v>
      </c>
      <c r="AT85" s="368">
        <v>182</v>
      </c>
      <c r="AU85" s="365">
        <v>0</v>
      </c>
      <c r="AV85" s="429" t="s">
        <v>59</v>
      </c>
      <c r="AW85" s="187">
        <v>0</v>
      </c>
    </row>
    <row r="86" spans="1:49" s="75" customFormat="1" ht="21" customHeight="1" thickTop="1" x14ac:dyDescent="0.25">
      <c r="A86" s="513" t="s">
        <v>60</v>
      </c>
      <c r="B86" s="501" t="s">
        <v>324</v>
      </c>
      <c r="C86" s="502"/>
      <c r="D86" s="502"/>
      <c r="E86" s="502"/>
      <c r="F86" s="502"/>
      <c r="G86" s="502"/>
      <c r="H86" s="502"/>
      <c r="I86" s="502"/>
      <c r="J86" s="502"/>
      <c r="K86" s="502"/>
      <c r="L86" s="502"/>
      <c r="M86" s="503"/>
      <c r="N86" s="501" t="s">
        <v>329</v>
      </c>
      <c r="O86" s="502"/>
      <c r="P86" s="502"/>
      <c r="Q86" s="502"/>
      <c r="R86" s="502"/>
      <c r="S86" s="502"/>
      <c r="T86" s="502"/>
      <c r="U86" s="502"/>
      <c r="V86" s="502"/>
      <c r="W86" s="502"/>
      <c r="X86" s="502"/>
      <c r="Y86" s="503"/>
      <c r="Z86" s="501" t="s">
        <v>365</v>
      </c>
      <c r="AA86" s="502"/>
      <c r="AB86" s="502"/>
      <c r="AC86" s="502"/>
      <c r="AD86" s="502"/>
      <c r="AE86" s="502"/>
      <c r="AF86" s="502"/>
      <c r="AG86" s="502"/>
      <c r="AH86" s="502"/>
      <c r="AI86" s="502"/>
      <c r="AJ86" s="502"/>
      <c r="AK86" s="503"/>
      <c r="AL86" s="501" t="s">
        <v>297</v>
      </c>
      <c r="AM86" s="502"/>
      <c r="AN86" s="502"/>
      <c r="AO86" s="502"/>
      <c r="AP86" s="502"/>
      <c r="AQ86" s="502"/>
      <c r="AR86" s="502"/>
      <c r="AS86" s="502"/>
      <c r="AT86" s="502"/>
      <c r="AU86" s="502"/>
      <c r="AV86" s="502"/>
      <c r="AW86" s="503"/>
    </row>
    <row r="87" spans="1:49" s="75" customFormat="1" ht="21" customHeight="1" x14ac:dyDescent="0.25">
      <c r="A87" s="514"/>
      <c r="B87" s="504"/>
      <c r="C87" s="505"/>
      <c r="D87" s="505"/>
      <c r="E87" s="505"/>
      <c r="F87" s="505"/>
      <c r="G87" s="505"/>
      <c r="H87" s="505"/>
      <c r="I87" s="505"/>
      <c r="J87" s="505"/>
      <c r="K87" s="505"/>
      <c r="L87" s="505"/>
      <c r="M87" s="506"/>
      <c r="N87" s="504"/>
      <c r="O87" s="505"/>
      <c r="P87" s="505"/>
      <c r="Q87" s="505"/>
      <c r="R87" s="505"/>
      <c r="S87" s="505"/>
      <c r="T87" s="505"/>
      <c r="U87" s="505"/>
      <c r="V87" s="505"/>
      <c r="W87" s="505"/>
      <c r="X87" s="505"/>
      <c r="Y87" s="506"/>
      <c r="Z87" s="504"/>
      <c r="AA87" s="505"/>
      <c r="AB87" s="505"/>
      <c r="AC87" s="505"/>
      <c r="AD87" s="505"/>
      <c r="AE87" s="505"/>
      <c r="AF87" s="505"/>
      <c r="AG87" s="505"/>
      <c r="AH87" s="505"/>
      <c r="AI87" s="505"/>
      <c r="AJ87" s="505"/>
      <c r="AK87" s="506"/>
      <c r="AL87" s="504"/>
      <c r="AM87" s="505"/>
      <c r="AN87" s="505"/>
      <c r="AO87" s="505"/>
      <c r="AP87" s="505"/>
      <c r="AQ87" s="505"/>
      <c r="AR87" s="505"/>
      <c r="AS87" s="505"/>
      <c r="AT87" s="505"/>
      <c r="AU87" s="505"/>
      <c r="AV87" s="505"/>
      <c r="AW87" s="506"/>
    </row>
    <row r="88" spans="1:49" s="75" customFormat="1" ht="21" customHeight="1" thickBot="1" x14ac:dyDescent="0.3">
      <c r="A88" s="515"/>
      <c r="B88" s="516" t="str">
        <f>IF(ISBLANK(B86),"",CONCATENATE($E$12,$F$12,".",$G$12,".","0",RIGHT($B$70,1),".",RIGHT(L88,1),$A86,IF(COUNTIFS(B86,"*op?ional*")=1,"-ij","")))</f>
        <v>L420.19.05.S6-ij</v>
      </c>
      <c r="C88" s="517"/>
      <c r="D88" s="518"/>
      <c r="E88" s="364">
        <v>3</v>
      </c>
      <c r="F88" s="365" t="s">
        <v>295</v>
      </c>
      <c r="G88" s="366">
        <v>0</v>
      </c>
      <c r="H88" s="367">
        <v>0</v>
      </c>
      <c r="I88" s="367">
        <v>14</v>
      </c>
      <c r="J88" s="368">
        <v>0</v>
      </c>
      <c r="K88" s="365">
        <v>0</v>
      </c>
      <c r="L88" s="365" t="s">
        <v>59</v>
      </c>
      <c r="M88" s="187">
        <f>E88*25-G88-H88-I88-J88-K88</f>
        <v>61</v>
      </c>
      <c r="N88" s="516" t="str">
        <f>IF(ISBLANK(N86),"",CONCATENATE($E$12,$F$12,".",$G$12,".","0",RIGHT($N$70,1),".",RIGHT(X88,1),$A86,IF(COUNTIFS(N86,"*op?ional*")=1,"-ij","")))</f>
        <v>L420.19.06.D6-ij</v>
      </c>
      <c r="O88" s="517"/>
      <c r="P88" s="518"/>
      <c r="Q88" s="364">
        <v>4</v>
      </c>
      <c r="R88" s="365" t="s">
        <v>5</v>
      </c>
      <c r="S88" s="366">
        <v>0</v>
      </c>
      <c r="T88" s="367">
        <v>0</v>
      </c>
      <c r="U88" s="367">
        <v>28</v>
      </c>
      <c r="V88" s="368">
        <v>0</v>
      </c>
      <c r="W88" s="365">
        <v>0</v>
      </c>
      <c r="X88" s="429" t="s">
        <v>54</v>
      </c>
      <c r="Y88" s="187">
        <f>Q88*25-S88-T88-U88-V88-W88</f>
        <v>72</v>
      </c>
      <c r="Z88" s="516" t="str">
        <f>IF(ISBLANK(Z86),"",CONCATENATE($E$12,$F$12,".",$G$12,".","0",RIGHT($Z$70,1),".",RIGHT(AJ88,1),$A86,IF(COUNTIFS(Z86,"*op?ional*")=1,"-ij","")))</f>
        <v>L420.19.07.D6-ij</v>
      </c>
      <c r="AA88" s="517"/>
      <c r="AB88" s="518"/>
      <c r="AC88" s="364">
        <v>5</v>
      </c>
      <c r="AD88" s="365" t="s">
        <v>295</v>
      </c>
      <c r="AE88" s="366">
        <v>0</v>
      </c>
      <c r="AF88" s="367">
        <v>0</v>
      </c>
      <c r="AG88" s="367">
        <v>0</v>
      </c>
      <c r="AH88" s="368">
        <v>28</v>
      </c>
      <c r="AI88" s="365">
        <v>0</v>
      </c>
      <c r="AJ88" s="429" t="s">
        <v>54</v>
      </c>
      <c r="AK88" s="187">
        <f>AC88*25-AE88-AF88-AG88-AH88-AI88</f>
        <v>97</v>
      </c>
      <c r="AL88" s="516" t="str">
        <f>IF(ISBLANK(AL86), "",CONCATENATE($E$12,$F$12,".",$G$12,".","0",RIGHT($AL$70,1),".",RIGHT(AV88,1),$A86,IF(COUNTIFS(AL86,"*op?ional*")=1,"-ij","")))</f>
        <v>L420.19.08.6</v>
      </c>
      <c r="AM88" s="517"/>
      <c r="AN88" s="518"/>
      <c r="AO88" s="305">
        <v>10</v>
      </c>
      <c r="AP88" s="210" t="s">
        <v>5</v>
      </c>
      <c r="AQ88" s="190"/>
      <c r="AR88" s="191"/>
      <c r="AS88" s="191"/>
      <c r="AT88" s="192"/>
      <c r="AU88" s="187"/>
      <c r="AV88" s="188"/>
      <c r="AW88" s="187"/>
    </row>
    <row r="89" spans="1:49" s="75" customFormat="1" ht="21" customHeight="1" thickTop="1" x14ac:dyDescent="0.25">
      <c r="A89" s="513" t="s">
        <v>61</v>
      </c>
      <c r="B89" s="501" t="s">
        <v>325</v>
      </c>
      <c r="C89" s="502"/>
      <c r="D89" s="502"/>
      <c r="E89" s="502"/>
      <c r="F89" s="502"/>
      <c r="G89" s="502"/>
      <c r="H89" s="502"/>
      <c r="I89" s="502"/>
      <c r="J89" s="502"/>
      <c r="K89" s="502"/>
      <c r="L89" s="502"/>
      <c r="M89" s="503"/>
      <c r="N89" s="501" t="s">
        <v>330</v>
      </c>
      <c r="O89" s="502"/>
      <c r="P89" s="502"/>
      <c r="Q89" s="502"/>
      <c r="R89" s="502"/>
      <c r="S89" s="502"/>
      <c r="T89" s="502"/>
      <c r="U89" s="502"/>
      <c r="V89" s="502"/>
      <c r="W89" s="502"/>
      <c r="X89" s="502"/>
      <c r="Y89" s="503"/>
      <c r="Z89" s="501" t="s">
        <v>366</v>
      </c>
      <c r="AA89" s="502"/>
      <c r="AB89" s="502"/>
      <c r="AC89" s="502"/>
      <c r="AD89" s="502"/>
      <c r="AE89" s="502"/>
      <c r="AF89" s="502"/>
      <c r="AG89" s="502"/>
      <c r="AH89" s="502"/>
      <c r="AI89" s="502"/>
      <c r="AJ89" s="502"/>
      <c r="AK89" s="503"/>
      <c r="AL89" s="501"/>
      <c r="AM89" s="502"/>
      <c r="AN89" s="502"/>
      <c r="AO89" s="502"/>
      <c r="AP89" s="502"/>
      <c r="AQ89" s="502"/>
      <c r="AR89" s="502"/>
      <c r="AS89" s="502"/>
      <c r="AT89" s="502"/>
      <c r="AU89" s="502"/>
      <c r="AV89" s="502"/>
      <c r="AW89" s="503"/>
    </row>
    <row r="90" spans="1:49" s="75" customFormat="1" ht="21" customHeight="1" x14ac:dyDescent="0.25">
      <c r="A90" s="514"/>
      <c r="B90" s="504"/>
      <c r="C90" s="505"/>
      <c r="D90" s="505"/>
      <c r="E90" s="505"/>
      <c r="F90" s="505"/>
      <c r="G90" s="505"/>
      <c r="H90" s="505"/>
      <c r="I90" s="505"/>
      <c r="J90" s="505"/>
      <c r="K90" s="505"/>
      <c r="L90" s="505"/>
      <c r="M90" s="506"/>
      <c r="N90" s="504"/>
      <c r="O90" s="505"/>
      <c r="P90" s="505"/>
      <c r="Q90" s="505"/>
      <c r="R90" s="505"/>
      <c r="S90" s="505"/>
      <c r="T90" s="505"/>
      <c r="U90" s="505"/>
      <c r="V90" s="505"/>
      <c r="W90" s="505"/>
      <c r="X90" s="505"/>
      <c r="Y90" s="506"/>
      <c r="Z90" s="504"/>
      <c r="AA90" s="505"/>
      <c r="AB90" s="505"/>
      <c r="AC90" s="505"/>
      <c r="AD90" s="505"/>
      <c r="AE90" s="505"/>
      <c r="AF90" s="505"/>
      <c r="AG90" s="505"/>
      <c r="AH90" s="505"/>
      <c r="AI90" s="505"/>
      <c r="AJ90" s="505"/>
      <c r="AK90" s="506"/>
      <c r="AL90" s="504"/>
      <c r="AM90" s="505"/>
      <c r="AN90" s="505"/>
      <c r="AO90" s="505"/>
      <c r="AP90" s="505"/>
      <c r="AQ90" s="505"/>
      <c r="AR90" s="505"/>
      <c r="AS90" s="505"/>
      <c r="AT90" s="505"/>
      <c r="AU90" s="505"/>
      <c r="AV90" s="505"/>
      <c r="AW90" s="506"/>
    </row>
    <row r="91" spans="1:49" s="76" customFormat="1" ht="21" customHeight="1" thickBot="1" x14ac:dyDescent="0.3">
      <c r="A91" s="515"/>
      <c r="B91" s="516" t="str">
        <f>IF(ISBLANK(B89),"",CONCATENATE($E$12,$F$12,".",$G$12,".","0",RIGHT($B$70,1),".",RIGHT(L91,1),$A89,IF(COUNTIFS(B89,"*op?ional*")=1,"-ij","")))</f>
        <v>L420.19.05.S7-ij</v>
      </c>
      <c r="C91" s="517"/>
      <c r="D91" s="518"/>
      <c r="E91" s="364">
        <v>4</v>
      </c>
      <c r="F91" s="365" t="s">
        <v>5</v>
      </c>
      <c r="G91" s="366">
        <v>0</v>
      </c>
      <c r="H91" s="367">
        <v>0</v>
      </c>
      <c r="I91" s="367">
        <v>14</v>
      </c>
      <c r="J91" s="368">
        <v>14</v>
      </c>
      <c r="K91" s="365">
        <v>0</v>
      </c>
      <c r="L91" s="429" t="s">
        <v>59</v>
      </c>
      <c r="M91" s="187">
        <f>E91*25-G91-H91-I91-J91-K91</f>
        <v>72</v>
      </c>
      <c r="N91" s="516" t="str">
        <f>IF(ISBLANK(N89),"",CONCATENATE($E$12,$F$12,".",$G$12,".","0",RIGHT($N$70,1),".",RIGHT(X91,1),$A89,IF(COUNTIFS(N89,"*op?ional*")=1,"-ij","")))</f>
        <v>L420.19.06.S7-ij</v>
      </c>
      <c r="O91" s="517"/>
      <c r="P91" s="518"/>
      <c r="Q91" s="364">
        <v>4</v>
      </c>
      <c r="R91" s="365" t="s">
        <v>5</v>
      </c>
      <c r="S91" s="366">
        <v>0</v>
      </c>
      <c r="T91" s="367">
        <v>0</v>
      </c>
      <c r="U91" s="367">
        <v>28</v>
      </c>
      <c r="V91" s="368">
        <v>0</v>
      </c>
      <c r="W91" s="365">
        <v>0</v>
      </c>
      <c r="X91" s="429" t="s">
        <v>59</v>
      </c>
      <c r="Y91" s="187">
        <f>Q91*25-S91-T91-U91-V91-W91</f>
        <v>72</v>
      </c>
      <c r="Z91" s="516" t="str">
        <f>IF(ISBLANK(Z89),"",CONCATENATE($E$12,$F$12,".",$G$12,".","0",RIGHT($Z$70,1),".",RIGHT(AJ91,1),$A89,IF(COUNTIFS(Z89,"*op?ional*")=1,"-ij","")))</f>
        <v>L420.19.07.D7-ij</v>
      </c>
      <c r="AA91" s="517"/>
      <c r="AB91" s="518"/>
      <c r="AC91" s="364">
        <v>4</v>
      </c>
      <c r="AD91" s="365" t="s">
        <v>5</v>
      </c>
      <c r="AE91" s="366">
        <v>0</v>
      </c>
      <c r="AF91" s="367">
        <v>0</v>
      </c>
      <c r="AG91" s="367">
        <v>28</v>
      </c>
      <c r="AH91" s="368">
        <v>0</v>
      </c>
      <c r="AI91" s="365">
        <v>0</v>
      </c>
      <c r="AJ91" s="429" t="s">
        <v>54</v>
      </c>
      <c r="AK91" s="187">
        <f>AC91*25-AE91-AF91-AG91-AH91-AI91</f>
        <v>72</v>
      </c>
      <c r="AL91" s="516" t="str">
        <f>IF(ISBLANK(AL89), "",CONCATENATE($E$12,$F$12,".",$G$12,".","0",RIGHT($AL$70,1),".",RIGHT(AV91,1),$A89,IF(COUNTIFS(AL89,"*op?ional*")=1,"-ij","")))</f>
        <v/>
      </c>
      <c r="AM91" s="517"/>
      <c r="AN91" s="518"/>
      <c r="AO91" s="305"/>
      <c r="AP91" s="210"/>
      <c r="AQ91" s="190"/>
      <c r="AR91" s="191"/>
      <c r="AS91" s="191"/>
      <c r="AT91" s="192"/>
      <c r="AU91" s="187"/>
      <c r="AV91" s="188"/>
      <c r="AW91" s="187"/>
    </row>
    <row r="92" spans="1:49" s="76" customFormat="1" ht="21" customHeight="1" thickTop="1" x14ac:dyDescent="0.25">
      <c r="A92" s="513" t="s">
        <v>62</v>
      </c>
      <c r="B92" s="501" t="s">
        <v>361</v>
      </c>
      <c r="C92" s="502"/>
      <c r="D92" s="502"/>
      <c r="E92" s="502"/>
      <c r="F92" s="502"/>
      <c r="G92" s="502"/>
      <c r="H92" s="502"/>
      <c r="I92" s="502"/>
      <c r="J92" s="502"/>
      <c r="K92" s="502"/>
      <c r="L92" s="502"/>
      <c r="M92" s="503"/>
      <c r="N92" s="501" t="s">
        <v>362</v>
      </c>
      <c r="O92" s="502"/>
      <c r="P92" s="502"/>
      <c r="Q92" s="502"/>
      <c r="R92" s="502"/>
      <c r="S92" s="502"/>
      <c r="T92" s="502"/>
      <c r="U92" s="502"/>
      <c r="V92" s="502"/>
      <c r="W92" s="502"/>
      <c r="X92" s="502"/>
      <c r="Y92" s="503"/>
      <c r="Z92" s="501"/>
      <c r="AA92" s="502"/>
      <c r="AB92" s="502"/>
      <c r="AC92" s="502"/>
      <c r="AD92" s="502"/>
      <c r="AE92" s="502"/>
      <c r="AF92" s="502"/>
      <c r="AG92" s="502"/>
      <c r="AH92" s="502"/>
      <c r="AI92" s="502"/>
      <c r="AJ92" s="502"/>
      <c r="AK92" s="503"/>
      <c r="AL92" s="501"/>
      <c r="AM92" s="502"/>
      <c r="AN92" s="502"/>
      <c r="AO92" s="502"/>
      <c r="AP92" s="502"/>
      <c r="AQ92" s="502"/>
      <c r="AR92" s="502"/>
      <c r="AS92" s="502"/>
      <c r="AT92" s="502"/>
      <c r="AU92" s="502"/>
      <c r="AV92" s="502"/>
      <c r="AW92" s="503"/>
    </row>
    <row r="93" spans="1:49" s="75" customFormat="1" ht="21" customHeight="1" x14ac:dyDescent="0.25">
      <c r="A93" s="514"/>
      <c r="B93" s="504"/>
      <c r="C93" s="505"/>
      <c r="D93" s="505"/>
      <c r="E93" s="505"/>
      <c r="F93" s="505"/>
      <c r="G93" s="505"/>
      <c r="H93" s="505"/>
      <c r="I93" s="505"/>
      <c r="J93" s="505"/>
      <c r="K93" s="505"/>
      <c r="L93" s="505"/>
      <c r="M93" s="506"/>
      <c r="N93" s="504"/>
      <c r="O93" s="505"/>
      <c r="P93" s="505"/>
      <c r="Q93" s="505"/>
      <c r="R93" s="505"/>
      <c r="S93" s="505"/>
      <c r="T93" s="505"/>
      <c r="U93" s="505"/>
      <c r="V93" s="505"/>
      <c r="W93" s="505"/>
      <c r="X93" s="505"/>
      <c r="Y93" s="506"/>
      <c r="Z93" s="504"/>
      <c r="AA93" s="505"/>
      <c r="AB93" s="505"/>
      <c r="AC93" s="505"/>
      <c r="AD93" s="505"/>
      <c r="AE93" s="505"/>
      <c r="AF93" s="505"/>
      <c r="AG93" s="505"/>
      <c r="AH93" s="505"/>
      <c r="AI93" s="505"/>
      <c r="AJ93" s="505"/>
      <c r="AK93" s="506"/>
      <c r="AL93" s="504"/>
      <c r="AM93" s="505"/>
      <c r="AN93" s="505"/>
      <c r="AO93" s="505"/>
      <c r="AP93" s="505"/>
      <c r="AQ93" s="505"/>
      <c r="AR93" s="505"/>
      <c r="AS93" s="505"/>
      <c r="AT93" s="505"/>
      <c r="AU93" s="505"/>
      <c r="AV93" s="505"/>
      <c r="AW93" s="506"/>
    </row>
    <row r="94" spans="1:49" s="75" customFormat="1" ht="21" customHeight="1" thickBot="1" x14ac:dyDescent="0.3">
      <c r="A94" s="515"/>
      <c r="B94" s="516" t="str">
        <f>IF(ISBLANK(B92),"",CONCATENATE($E$12,$F$12,".",$G$12,".","0",RIGHT($B$70,1),".",RIGHT(L94,1),$A92,IF(COUNTIFS(B92,"*op?ional*")=1,"-ij","")))</f>
        <v>L420.19.05.D8</v>
      </c>
      <c r="C94" s="517"/>
      <c r="D94" s="518"/>
      <c r="E94" s="364">
        <v>3</v>
      </c>
      <c r="F94" s="365" t="s">
        <v>6</v>
      </c>
      <c r="G94" s="366">
        <v>0</v>
      </c>
      <c r="H94" s="367">
        <v>0</v>
      </c>
      <c r="I94" s="367">
        <v>0</v>
      </c>
      <c r="J94" s="368">
        <v>0</v>
      </c>
      <c r="K94" s="365">
        <v>100</v>
      </c>
      <c r="L94" s="429" t="s">
        <v>54</v>
      </c>
      <c r="M94" s="187">
        <v>0</v>
      </c>
      <c r="N94" s="516" t="str">
        <f>IF(ISBLANK(N92),"",CONCATENATE($E$12,$F$12,".",$G$12,".","0",RIGHT($N$70,1),".",RIGHT(X94,1),$A92,IF(COUNTIFS(N92,"*op?ional*")=1,"-ij","")))</f>
        <v>L420.19.06.S8</v>
      </c>
      <c r="O94" s="517"/>
      <c r="P94" s="518"/>
      <c r="Q94" s="364">
        <v>3</v>
      </c>
      <c r="R94" s="365" t="s">
        <v>6</v>
      </c>
      <c r="S94" s="366">
        <v>0</v>
      </c>
      <c r="T94" s="367">
        <v>0</v>
      </c>
      <c r="U94" s="367">
        <v>0</v>
      </c>
      <c r="V94" s="368">
        <v>0</v>
      </c>
      <c r="W94" s="365">
        <v>100</v>
      </c>
      <c r="X94" s="429" t="s">
        <v>59</v>
      </c>
      <c r="Y94" s="210">
        <v>0</v>
      </c>
      <c r="Z94" s="516" t="str">
        <f>IF(ISBLANK(Z92),"",CONCATENATE($E$12,$F$12,".",$G$12,".","0",RIGHT($Z$70,1),".",RIGHT(AJ94,1),$A92,IF(COUNTIFS(Z92,"*op?ional*")=1,"-ij","")))</f>
        <v/>
      </c>
      <c r="AA94" s="517"/>
      <c r="AB94" s="518"/>
      <c r="AC94" s="306"/>
      <c r="AD94" s="210"/>
      <c r="AE94" s="208"/>
      <c r="AF94" s="208"/>
      <c r="AG94" s="208"/>
      <c r="AH94" s="206"/>
      <c r="AI94" s="209"/>
      <c r="AJ94" s="209"/>
      <c r="AK94" s="208"/>
      <c r="AL94" s="516" t="str">
        <f>IF(ISBLANK(AL92), "",CONCATENATE($E$12,$F$12,".",$G$12,".","0",RIGHT($AL$70,1),".",RIGHT(AV94,1),$A92,IF(COUNTIFS(AL92,"*op?ional*")=1,"-ij","")))</f>
        <v/>
      </c>
      <c r="AM94" s="517"/>
      <c r="AN94" s="518"/>
      <c r="AO94" s="305"/>
      <c r="AP94" s="210"/>
      <c r="AQ94" s="190"/>
      <c r="AR94" s="191"/>
      <c r="AS94" s="191"/>
      <c r="AT94" s="192"/>
      <c r="AU94" s="187"/>
      <c r="AV94" s="188"/>
      <c r="AW94" s="187"/>
    </row>
    <row r="95" spans="1:49" s="75" customFormat="1" ht="21" customHeight="1" thickTop="1" x14ac:dyDescent="0.25">
      <c r="A95" s="513" t="s">
        <v>63</v>
      </c>
      <c r="B95" s="501"/>
      <c r="C95" s="502"/>
      <c r="D95" s="502"/>
      <c r="E95" s="502"/>
      <c r="F95" s="502"/>
      <c r="G95" s="502"/>
      <c r="H95" s="502"/>
      <c r="I95" s="502"/>
      <c r="J95" s="502"/>
      <c r="K95" s="502"/>
      <c r="L95" s="502"/>
      <c r="M95" s="503"/>
      <c r="N95" s="501"/>
      <c r="O95" s="502"/>
      <c r="P95" s="502"/>
      <c r="Q95" s="502"/>
      <c r="R95" s="502"/>
      <c r="S95" s="502"/>
      <c r="T95" s="502"/>
      <c r="U95" s="502"/>
      <c r="V95" s="502"/>
      <c r="W95" s="502"/>
      <c r="X95" s="502"/>
      <c r="Y95" s="503"/>
      <c r="Z95" s="501"/>
      <c r="AA95" s="502"/>
      <c r="AB95" s="502"/>
      <c r="AC95" s="502"/>
      <c r="AD95" s="502"/>
      <c r="AE95" s="502"/>
      <c r="AF95" s="502"/>
      <c r="AG95" s="502"/>
      <c r="AH95" s="502"/>
      <c r="AI95" s="502"/>
      <c r="AJ95" s="502"/>
      <c r="AK95" s="503"/>
      <c r="AL95" s="501"/>
      <c r="AM95" s="502"/>
      <c r="AN95" s="502"/>
      <c r="AO95" s="502"/>
      <c r="AP95" s="502"/>
      <c r="AQ95" s="502"/>
      <c r="AR95" s="502"/>
      <c r="AS95" s="502"/>
      <c r="AT95" s="502"/>
      <c r="AU95" s="502"/>
      <c r="AV95" s="502"/>
      <c r="AW95" s="503"/>
    </row>
    <row r="96" spans="1:49" s="75" customFormat="1" ht="21" customHeight="1" x14ac:dyDescent="0.25">
      <c r="A96" s="514"/>
      <c r="B96" s="504"/>
      <c r="C96" s="505"/>
      <c r="D96" s="505"/>
      <c r="E96" s="505"/>
      <c r="F96" s="505"/>
      <c r="G96" s="505"/>
      <c r="H96" s="505"/>
      <c r="I96" s="505"/>
      <c r="J96" s="505"/>
      <c r="K96" s="505"/>
      <c r="L96" s="505"/>
      <c r="M96" s="506"/>
      <c r="N96" s="504"/>
      <c r="O96" s="505"/>
      <c r="P96" s="505"/>
      <c r="Q96" s="505"/>
      <c r="R96" s="505"/>
      <c r="S96" s="505"/>
      <c r="T96" s="505"/>
      <c r="U96" s="505"/>
      <c r="V96" s="505"/>
      <c r="W96" s="505"/>
      <c r="X96" s="505"/>
      <c r="Y96" s="506"/>
      <c r="Z96" s="504"/>
      <c r="AA96" s="505"/>
      <c r="AB96" s="505"/>
      <c r="AC96" s="505"/>
      <c r="AD96" s="505"/>
      <c r="AE96" s="505"/>
      <c r="AF96" s="505"/>
      <c r="AG96" s="505"/>
      <c r="AH96" s="505"/>
      <c r="AI96" s="505"/>
      <c r="AJ96" s="505"/>
      <c r="AK96" s="506"/>
      <c r="AL96" s="504"/>
      <c r="AM96" s="505"/>
      <c r="AN96" s="505"/>
      <c r="AO96" s="505"/>
      <c r="AP96" s="505"/>
      <c r="AQ96" s="505"/>
      <c r="AR96" s="505"/>
      <c r="AS96" s="505"/>
      <c r="AT96" s="505"/>
      <c r="AU96" s="505"/>
      <c r="AV96" s="505"/>
      <c r="AW96" s="506"/>
    </row>
    <row r="97" spans="1:49" s="75" customFormat="1" ht="21" customHeight="1" thickBot="1" x14ac:dyDescent="0.3">
      <c r="A97" s="515"/>
      <c r="B97" s="516" t="str">
        <f>IF(ISBLANK(B95),"",CONCATENATE($E$12,$F$12,".",$G$12,".","0",RIGHT($B$70,1),".",RIGHT(L97,1),$A95,IF(COUNTIFS(B95,"*op?ional*")=1,"-ij","")))</f>
        <v/>
      </c>
      <c r="C97" s="517"/>
      <c r="D97" s="518"/>
      <c r="E97" s="305"/>
      <c r="F97" s="210"/>
      <c r="G97" s="205"/>
      <c r="H97" s="207"/>
      <c r="I97" s="207"/>
      <c r="J97" s="206"/>
      <c r="K97" s="209"/>
      <c r="L97" s="209"/>
      <c r="M97" s="210"/>
      <c r="N97" s="516" t="str">
        <f>IF(ISBLANK(N95),"",CONCATENATE($E$12,$F$12,".",$G$12,".","0",RIGHT($N$70,1),".",RIGHT(X97,1),$A95,IF(COUNTIFS(N95,"*op?ional*")=1,"-ij","")))</f>
        <v/>
      </c>
      <c r="O97" s="517"/>
      <c r="P97" s="518"/>
      <c r="Q97" s="305"/>
      <c r="R97" s="210"/>
      <c r="S97" s="205"/>
      <c r="T97" s="207"/>
      <c r="U97" s="207"/>
      <c r="V97" s="206"/>
      <c r="W97" s="209"/>
      <c r="X97" s="209"/>
      <c r="Y97" s="210"/>
      <c r="Z97" s="516" t="str">
        <f>IF(ISBLANK(Z95),"",CONCATENATE($E$12,$F$12,".",$G$12,".","0",RIGHT($Z$70,1),".",RIGHT(AJ97,1),$A95,IF(COUNTIFS(Z95,"*op?ional*")=1,"-ij","")))</f>
        <v/>
      </c>
      <c r="AA97" s="517"/>
      <c r="AB97" s="518"/>
      <c r="AC97" s="189"/>
      <c r="AD97" s="188"/>
      <c r="AE97" s="190"/>
      <c r="AF97" s="191"/>
      <c r="AG97" s="191"/>
      <c r="AH97" s="192"/>
      <c r="AI97" s="187"/>
      <c r="AJ97" s="188"/>
      <c r="AK97" s="187"/>
      <c r="AL97" s="516" t="str">
        <f>IF(ISBLANK(AL95), "",CONCATENATE($E$12,$F$12,".",$G$12,".","0",RIGHT($AL$70,1),".",RIGHT(AV97,1),$A95,IF(COUNTIFS(AL95,"*op?ional*")=1,"-ij","")))</f>
        <v/>
      </c>
      <c r="AM97" s="517"/>
      <c r="AN97" s="518"/>
      <c r="AO97" s="305"/>
      <c r="AP97" s="210"/>
      <c r="AQ97" s="190"/>
      <c r="AR97" s="191"/>
      <c r="AS97" s="191"/>
      <c r="AT97" s="192"/>
      <c r="AU97" s="187"/>
      <c r="AV97" s="188"/>
      <c r="AW97" s="187"/>
    </row>
    <row r="98" spans="1:49" s="75" customFormat="1" ht="21" customHeight="1" thickTop="1" x14ac:dyDescent="0.25">
      <c r="A98" s="513" t="s">
        <v>64</v>
      </c>
      <c r="B98" s="501"/>
      <c r="C98" s="502"/>
      <c r="D98" s="502"/>
      <c r="E98" s="502"/>
      <c r="F98" s="502"/>
      <c r="G98" s="502"/>
      <c r="H98" s="502"/>
      <c r="I98" s="502"/>
      <c r="J98" s="502"/>
      <c r="K98" s="502"/>
      <c r="L98" s="502"/>
      <c r="M98" s="503"/>
      <c r="N98" s="501"/>
      <c r="O98" s="502"/>
      <c r="P98" s="502"/>
      <c r="Q98" s="502"/>
      <c r="R98" s="502"/>
      <c r="S98" s="502"/>
      <c r="T98" s="502"/>
      <c r="U98" s="502"/>
      <c r="V98" s="502"/>
      <c r="W98" s="502"/>
      <c r="X98" s="502"/>
      <c r="Y98" s="503"/>
      <c r="Z98" s="501"/>
      <c r="AA98" s="502"/>
      <c r="AB98" s="502"/>
      <c r="AC98" s="502"/>
      <c r="AD98" s="502"/>
      <c r="AE98" s="502"/>
      <c r="AF98" s="502"/>
      <c r="AG98" s="502"/>
      <c r="AH98" s="502"/>
      <c r="AI98" s="502"/>
      <c r="AJ98" s="502"/>
      <c r="AK98" s="503"/>
      <c r="AL98" s="501"/>
      <c r="AM98" s="502"/>
      <c r="AN98" s="502"/>
      <c r="AO98" s="502"/>
      <c r="AP98" s="502"/>
      <c r="AQ98" s="502"/>
      <c r="AR98" s="502"/>
      <c r="AS98" s="502"/>
      <c r="AT98" s="502"/>
      <c r="AU98" s="502"/>
      <c r="AV98" s="502"/>
      <c r="AW98" s="503"/>
    </row>
    <row r="99" spans="1:49" s="75" customFormat="1" ht="21" customHeight="1" x14ac:dyDescent="0.25">
      <c r="A99" s="514"/>
      <c r="B99" s="504"/>
      <c r="C99" s="505"/>
      <c r="D99" s="505"/>
      <c r="E99" s="505"/>
      <c r="F99" s="505"/>
      <c r="G99" s="505"/>
      <c r="H99" s="505"/>
      <c r="I99" s="505"/>
      <c r="J99" s="505"/>
      <c r="K99" s="505"/>
      <c r="L99" s="505"/>
      <c r="M99" s="506"/>
      <c r="N99" s="504"/>
      <c r="O99" s="505"/>
      <c r="P99" s="505"/>
      <c r="Q99" s="505"/>
      <c r="R99" s="505"/>
      <c r="S99" s="505"/>
      <c r="T99" s="505"/>
      <c r="U99" s="505"/>
      <c r="V99" s="505"/>
      <c r="W99" s="505"/>
      <c r="X99" s="505"/>
      <c r="Y99" s="506"/>
      <c r="Z99" s="504"/>
      <c r="AA99" s="505"/>
      <c r="AB99" s="505"/>
      <c r="AC99" s="505"/>
      <c r="AD99" s="505"/>
      <c r="AE99" s="505"/>
      <c r="AF99" s="505"/>
      <c r="AG99" s="505"/>
      <c r="AH99" s="505"/>
      <c r="AI99" s="505"/>
      <c r="AJ99" s="505"/>
      <c r="AK99" s="506"/>
      <c r="AL99" s="504"/>
      <c r="AM99" s="505"/>
      <c r="AN99" s="505"/>
      <c r="AO99" s="505"/>
      <c r="AP99" s="505"/>
      <c r="AQ99" s="505"/>
      <c r="AR99" s="505"/>
      <c r="AS99" s="505"/>
      <c r="AT99" s="505"/>
      <c r="AU99" s="505"/>
      <c r="AV99" s="505"/>
      <c r="AW99" s="506"/>
    </row>
    <row r="100" spans="1:49" s="77" customFormat="1" ht="21" customHeight="1" thickBot="1" x14ac:dyDescent="0.25">
      <c r="A100" s="515"/>
      <c r="B100" s="516" t="str">
        <f>IF(ISBLANK(B98),"",CONCATENATE($E$12,$F$12,".",$G$12,".","0",RIGHT($B$70,1),".",RIGHT(L100,1),$A98,IF(COUNTIFS(B98,"*op?ional*")=1,"-ij","")))</f>
        <v/>
      </c>
      <c r="C100" s="517"/>
      <c r="D100" s="518"/>
      <c r="E100" s="305"/>
      <c r="F100" s="210"/>
      <c r="G100" s="205"/>
      <c r="H100" s="207"/>
      <c r="I100" s="207"/>
      <c r="J100" s="206"/>
      <c r="K100" s="209"/>
      <c r="L100" s="209"/>
      <c r="M100" s="210"/>
      <c r="N100" s="516" t="str">
        <f>IF(ISBLANK(N98),"",CONCATENATE($E$12,$F$12,".",$G$12,".","0",RIGHT($N$70,1),".",RIGHT(X100,1),$A98,IF(COUNTIFS(N98,"*op?ional*")=1,"-ij","")))</f>
        <v/>
      </c>
      <c r="O100" s="517"/>
      <c r="P100" s="518"/>
      <c r="Q100" s="305"/>
      <c r="R100" s="210"/>
      <c r="S100" s="205"/>
      <c r="T100" s="207"/>
      <c r="U100" s="207"/>
      <c r="V100" s="206"/>
      <c r="W100" s="209"/>
      <c r="X100" s="209"/>
      <c r="Y100" s="210"/>
      <c r="Z100" s="516" t="str">
        <f>IF(ISBLANK(Z98),"",CONCATENATE($E$12,$F$12,".",$G$12,".","0",RIGHT($Z$70,1),".",RIGHT(AJ100,1),$A98,IF(COUNTIFS(Z98,"*op?ional*")=1,"-ij","")))</f>
        <v/>
      </c>
      <c r="AA100" s="517"/>
      <c r="AB100" s="518"/>
      <c r="AC100" s="189"/>
      <c r="AD100" s="188"/>
      <c r="AE100" s="190"/>
      <c r="AF100" s="191"/>
      <c r="AG100" s="191"/>
      <c r="AH100" s="192"/>
      <c r="AI100" s="187"/>
      <c r="AJ100" s="188"/>
      <c r="AK100" s="187"/>
      <c r="AL100" s="516" t="str">
        <f>IF(ISBLANK(AL98), "",CONCATENATE($E$12,$F$12,".",$G$12,".","0",RIGHT($AL$70,1),".",RIGHT(AV100,1),$A98,IF(COUNTIFS(AL98,"*op?ional*")=1,"-ij","")))</f>
        <v/>
      </c>
      <c r="AM100" s="517"/>
      <c r="AN100" s="518"/>
      <c r="AO100" s="305"/>
      <c r="AP100" s="210"/>
      <c r="AQ100" s="190"/>
      <c r="AR100" s="191"/>
      <c r="AS100" s="191"/>
      <c r="AT100" s="192"/>
      <c r="AU100" s="187"/>
      <c r="AV100" s="188"/>
      <c r="AW100" s="187"/>
    </row>
    <row r="101" spans="1:49" s="77" customFormat="1" ht="21" customHeight="1" thickTop="1" x14ac:dyDescent="0.2">
      <c r="A101" s="513" t="s">
        <v>65</v>
      </c>
      <c r="B101" s="543" t="s">
        <v>367</v>
      </c>
      <c r="C101" s="544"/>
      <c r="D101" s="544"/>
      <c r="E101" s="544"/>
      <c r="F101" s="544"/>
      <c r="G101" s="544"/>
      <c r="H101" s="544"/>
      <c r="I101" s="544"/>
      <c r="J101" s="544"/>
      <c r="K101" s="544"/>
      <c r="L101" s="544"/>
      <c r="M101" s="545"/>
      <c r="N101" s="543" t="s">
        <v>367</v>
      </c>
      <c r="O101" s="544"/>
      <c r="P101" s="544"/>
      <c r="Q101" s="544"/>
      <c r="R101" s="544"/>
      <c r="S101" s="544"/>
      <c r="T101" s="544"/>
      <c r="U101" s="544"/>
      <c r="V101" s="544"/>
      <c r="W101" s="544"/>
      <c r="X101" s="544"/>
      <c r="Y101" s="545"/>
      <c r="Z101" s="543"/>
      <c r="AA101" s="544"/>
      <c r="AB101" s="544"/>
      <c r="AC101" s="544"/>
      <c r="AD101" s="544"/>
      <c r="AE101" s="544"/>
      <c r="AF101" s="544"/>
      <c r="AG101" s="544"/>
      <c r="AH101" s="544"/>
      <c r="AI101" s="544"/>
      <c r="AJ101" s="544"/>
      <c r="AK101" s="545"/>
      <c r="AL101" s="543" t="s">
        <v>367</v>
      </c>
      <c r="AM101" s="544"/>
      <c r="AN101" s="544"/>
      <c r="AO101" s="544"/>
      <c r="AP101" s="544"/>
      <c r="AQ101" s="544"/>
      <c r="AR101" s="544"/>
      <c r="AS101" s="544"/>
      <c r="AT101" s="544"/>
      <c r="AU101" s="544"/>
      <c r="AV101" s="544"/>
      <c r="AW101" s="545"/>
    </row>
    <row r="102" spans="1:49" s="75" customFormat="1" ht="21" customHeight="1" x14ac:dyDescent="0.25">
      <c r="A102" s="514"/>
      <c r="B102" s="546"/>
      <c r="C102" s="547"/>
      <c r="D102" s="547"/>
      <c r="E102" s="547"/>
      <c r="F102" s="547"/>
      <c r="G102" s="547"/>
      <c r="H102" s="547"/>
      <c r="I102" s="547"/>
      <c r="J102" s="547"/>
      <c r="K102" s="547"/>
      <c r="L102" s="547"/>
      <c r="M102" s="548"/>
      <c r="N102" s="546"/>
      <c r="O102" s="547"/>
      <c r="P102" s="547"/>
      <c r="Q102" s="547"/>
      <c r="R102" s="547"/>
      <c r="S102" s="547"/>
      <c r="T102" s="547"/>
      <c r="U102" s="547"/>
      <c r="V102" s="547"/>
      <c r="W102" s="547"/>
      <c r="X102" s="547"/>
      <c r="Y102" s="548"/>
      <c r="Z102" s="546"/>
      <c r="AA102" s="547"/>
      <c r="AB102" s="547"/>
      <c r="AC102" s="547"/>
      <c r="AD102" s="547"/>
      <c r="AE102" s="547"/>
      <c r="AF102" s="547"/>
      <c r="AG102" s="547"/>
      <c r="AH102" s="547"/>
      <c r="AI102" s="547"/>
      <c r="AJ102" s="547"/>
      <c r="AK102" s="548"/>
      <c r="AL102" s="546"/>
      <c r="AM102" s="547"/>
      <c r="AN102" s="547"/>
      <c r="AO102" s="547"/>
      <c r="AP102" s="547"/>
      <c r="AQ102" s="547"/>
      <c r="AR102" s="547"/>
      <c r="AS102" s="547"/>
      <c r="AT102" s="547"/>
      <c r="AU102" s="547"/>
      <c r="AV102" s="547"/>
      <c r="AW102" s="548"/>
    </row>
    <row r="103" spans="1:49" s="78" customFormat="1" ht="21" customHeight="1" thickBot="1" x14ac:dyDescent="0.25">
      <c r="A103" s="515"/>
      <c r="B103" s="540" t="str">
        <f>IF(ISBLANK(B101),"",CONCATENATE($E$12,$F$12,".",$G$12,".","0",RIGHT($B$70,1),".",RIGHT(L103,1),$A$101,"-ij"))</f>
        <v>L420.19.05.11-ij</v>
      </c>
      <c r="C103" s="541"/>
      <c r="D103" s="542"/>
      <c r="E103" s="299"/>
      <c r="F103" s="297"/>
      <c r="G103" s="300"/>
      <c r="H103" s="301"/>
      <c r="I103" s="301"/>
      <c r="J103" s="302"/>
      <c r="K103" s="298"/>
      <c r="L103" s="298"/>
      <c r="M103" s="298"/>
      <c r="N103" s="540" t="str">
        <f>IF(ISBLANK(N101),"",CONCATENATE($E$12,$F$12,".",$G$12,".","0",RIGHT($N$70,1),".",RIGHT(X103,1),$A$101,"-ij"))</f>
        <v>L420.19.06.11-ij</v>
      </c>
      <c r="O103" s="541"/>
      <c r="P103" s="542"/>
      <c r="Q103" s="299"/>
      <c r="R103" s="297"/>
      <c r="S103" s="300"/>
      <c r="T103" s="301"/>
      <c r="U103" s="301"/>
      <c r="V103" s="302"/>
      <c r="W103" s="298"/>
      <c r="X103" s="297"/>
      <c r="Y103" s="298"/>
      <c r="Z103" s="540" t="str">
        <f>IF(ISBLANK(Z101),"",CONCATENATE($E$12,$F$12,".",$G$12,".","0",RIGHT($Z$70,1),".",RIGHT(AJ103,1),$A$101,"-ij"))</f>
        <v/>
      </c>
      <c r="AA103" s="541"/>
      <c r="AB103" s="542"/>
      <c r="AC103" s="299"/>
      <c r="AD103" s="297"/>
      <c r="AE103" s="300"/>
      <c r="AF103" s="301"/>
      <c r="AG103" s="301"/>
      <c r="AH103" s="302"/>
      <c r="AI103" s="298"/>
      <c r="AJ103" s="297"/>
      <c r="AK103" s="298"/>
      <c r="AL103" s="540" t="str">
        <f>IF(ISBLANK(AL101),"",CONCATENATE($E$12,$F$12,".",$G$12,".","0",RIGHT($AL$70,1),".",RIGHT(AV103,1),$A$101,"-ij"))</f>
        <v>L420.19.08.11-ij</v>
      </c>
      <c r="AM103" s="541"/>
      <c r="AN103" s="542"/>
      <c r="AO103" s="299"/>
      <c r="AP103" s="297"/>
      <c r="AQ103" s="300"/>
      <c r="AR103" s="301"/>
      <c r="AS103" s="301"/>
      <c r="AT103" s="302"/>
      <c r="AU103" s="298"/>
      <c r="AV103" s="297"/>
      <c r="AW103" s="298"/>
    </row>
    <row r="104" spans="1:49" s="78" customFormat="1" ht="21" customHeight="1" thickTop="1" x14ac:dyDescent="0.2">
      <c r="A104" s="527" t="s">
        <v>8</v>
      </c>
      <c r="B104" s="474" t="s">
        <v>9</v>
      </c>
      <c r="C104" s="475"/>
      <c r="D104" s="63"/>
      <c r="E104" s="471">
        <f>SUM(G73:J73,G76:J76,G79:J79,G82:J82,G85:J85,G88:J88,G91:J91,G94:J94,G97:J97,G100:J100)</f>
        <v>168</v>
      </c>
      <c r="F104" s="472"/>
      <c r="G104" s="480" t="s">
        <v>10</v>
      </c>
      <c r="H104" s="481"/>
      <c r="I104" s="481"/>
      <c r="J104" s="482"/>
      <c r="K104" s="470">
        <f>SUM(M73,M76,M79,M82,M85,M88,M91,M94,M97,M100)</f>
        <v>507</v>
      </c>
      <c r="L104" s="471"/>
      <c r="M104" s="472"/>
      <c r="N104" s="474" t="s">
        <v>9</v>
      </c>
      <c r="O104" s="475"/>
      <c r="P104" s="63"/>
      <c r="Q104" s="471">
        <f>SUM(S73:V73,S76:V76,S79:V79,S82:V82,S85:V85,S88:V88,S91:V91,S94:V94,S97:V97,S100:V100)</f>
        <v>182</v>
      </c>
      <c r="R104" s="472"/>
      <c r="S104" s="480" t="s">
        <v>10</v>
      </c>
      <c r="T104" s="481"/>
      <c r="U104" s="481"/>
      <c r="V104" s="482"/>
      <c r="W104" s="470">
        <f>SUM(Y73,Y76,Y79,Y82,Y85,Y88,Y91,Y94,Y97,Y100)</f>
        <v>493</v>
      </c>
      <c r="X104" s="471"/>
      <c r="Y104" s="472"/>
      <c r="Z104" s="474" t="s">
        <v>9</v>
      </c>
      <c r="AA104" s="475"/>
      <c r="AB104" s="63"/>
      <c r="AC104" s="471">
        <f>SUM(AE73:AH73,AE76:AH76,AE79:AH79,AE82:AH82,AE85:AH85,AE88:AH88,AE91:AH91,AE94:AH94,AE97:AH97,AE100:AH100)</f>
        <v>182</v>
      </c>
      <c r="AD104" s="472"/>
      <c r="AE104" s="480" t="s">
        <v>10</v>
      </c>
      <c r="AF104" s="481"/>
      <c r="AG104" s="481"/>
      <c r="AH104" s="482"/>
      <c r="AI104" s="470">
        <f>SUM(AK73,AK76,AK79,AK82,AK85,AK88,AK91,AK94,AK97,AK100)</f>
        <v>568</v>
      </c>
      <c r="AJ104" s="471"/>
      <c r="AK104" s="472"/>
      <c r="AL104" s="474" t="s">
        <v>9</v>
      </c>
      <c r="AM104" s="475"/>
      <c r="AN104" s="63"/>
      <c r="AO104" s="487">
        <f>SUM(AQ73:AT73,AQ76:AT76,AQ79:AT79,AQ82:AT82,AQ85:AT85,AQ88:AT88,AQ91:AT91,AQ94:AT94,AQ97:AT97,AQ100:AT100)</f>
        <v>266</v>
      </c>
      <c r="AP104" s="472"/>
      <c r="AQ104" s="480" t="s">
        <v>10</v>
      </c>
      <c r="AR104" s="481"/>
      <c r="AS104" s="481"/>
      <c r="AT104" s="482"/>
      <c r="AU104" s="470">
        <f>SUM(AW73,AW76,AW79,AW82,AW85,AW88,AW91,AW94,AW97,AW100)</f>
        <v>291</v>
      </c>
      <c r="AV104" s="471"/>
      <c r="AW104" s="472"/>
    </row>
    <row r="105" spans="1:49" s="78" customFormat="1" ht="21" customHeight="1" thickBot="1" x14ac:dyDescent="0.25">
      <c r="A105" s="528"/>
      <c r="B105" s="473" t="s">
        <v>11</v>
      </c>
      <c r="C105" s="466"/>
      <c r="D105" s="66"/>
      <c r="E105" s="485">
        <f>SUM(E73,E76,E79,E82,E85,E88,E91,E94,E97,E100)</f>
        <v>30</v>
      </c>
      <c r="F105" s="486"/>
      <c r="G105" s="473" t="s">
        <v>12</v>
      </c>
      <c r="H105" s="466"/>
      <c r="I105" s="466"/>
      <c r="J105" s="467"/>
      <c r="K105" s="473" t="str">
        <f>BD384</f>
        <v>4E,3D,1C</v>
      </c>
      <c r="L105" s="466"/>
      <c r="M105" s="467"/>
      <c r="N105" s="473" t="s">
        <v>11</v>
      </c>
      <c r="O105" s="466"/>
      <c r="P105" s="66"/>
      <c r="Q105" s="485">
        <f>SUM(Q73,Q76,Q79,Q82,Q85,Q88,Q91,Q94,Q97,Q100)</f>
        <v>30</v>
      </c>
      <c r="R105" s="486"/>
      <c r="S105" s="473" t="s">
        <v>12</v>
      </c>
      <c r="T105" s="466"/>
      <c r="U105" s="466"/>
      <c r="V105" s="467"/>
      <c r="W105" s="473" t="str">
        <f>BD385</f>
        <v>4E,3D,1C</v>
      </c>
      <c r="X105" s="466"/>
      <c r="Y105" s="467"/>
      <c r="Z105" s="473" t="s">
        <v>11</v>
      </c>
      <c r="AA105" s="466"/>
      <c r="AB105" s="66"/>
      <c r="AC105" s="485">
        <f>SUM(AC73,AC76,AC79,AC82,AC85,AC88,AC91,AC94,AC97,AC100)</f>
        <v>30</v>
      </c>
      <c r="AD105" s="486"/>
      <c r="AE105" s="473" t="s">
        <v>12</v>
      </c>
      <c r="AF105" s="466"/>
      <c r="AG105" s="466"/>
      <c r="AH105" s="467"/>
      <c r="AI105" s="473" t="str">
        <f>BD386</f>
        <v>4E,3D,0C</v>
      </c>
      <c r="AJ105" s="466"/>
      <c r="AK105" s="467"/>
      <c r="AL105" s="473" t="s">
        <v>11</v>
      </c>
      <c r="AM105" s="466"/>
      <c r="AN105" s="66"/>
      <c r="AO105" s="485">
        <f>SUM(AO73,AO76,AO79,AO82,AO85,AO88,AO91,AO94,AO97,AO100)</f>
        <v>30</v>
      </c>
      <c r="AP105" s="486"/>
      <c r="AQ105" s="473" t="s">
        <v>12</v>
      </c>
      <c r="AR105" s="466"/>
      <c r="AS105" s="466"/>
      <c r="AT105" s="467"/>
      <c r="AU105" s="473" t="str">
        <f>BD387</f>
        <v>5E,1D,0C</v>
      </c>
      <c r="AV105" s="466"/>
      <c r="AW105" s="467"/>
    </row>
    <row r="106" spans="1:49" s="78" customFormat="1" ht="21" customHeight="1" thickTop="1" x14ac:dyDescent="0.2">
      <c r="A106" s="527" t="s">
        <v>13</v>
      </c>
      <c r="B106" s="474" t="s">
        <v>9</v>
      </c>
      <c r="C106" s="475"/>
      <c r="D106" s="67"/>
      <c r="E106" s="471">
        <f>SUM(G107:J107)</f>
        <v>12</v>
      </c>
      <c r="F106" s="472"/>
      <c r="G106" s="68"/>
      <c r="H106" s="64"/>
      <c r="I106" s="64"/>
      <c r="J106" s="64"/>
      <c r="K106" s="313"/>
      <c r="L106" s="64"/>
      <c r="M106" s="73"/>
      <c r="N106" s="474" t="s">
        <v>9</v>
      </c>
      <c r="O106" s="475"/>
      <c r="P106" s="67"/>
      <c r="Q106" s="487">
        <f>SUM(S107:V107)</f>
        <v>13</v>
      </c>
      <c r="R106" s="556"/>
      <c r="S106" s="68"/>
      <c r="T106" s="64"/>
      <c r="U106" s="64"/>
      <c r="V106" s="64"/>
      <c r="W106" s="313"/>
      <c r="X106" s="64"/>
      <c r="Y106" s="73"/>
      <c r="Z106" s="474" t="s">
        <v>9</v>
      </c>
      <c r="AA106" s="475"/>
      <c r="AB106" s="67"/>
      <c r="AC106" s="471">
        <f>SUM(AE107:AH107)</f>
        <v>13</v>
      </c>
      <c r="AD106" s="472"/>
      <c r="AE106" s="68"/>
      <c r="AF106" s="64"/>
      <c r="AG106" s="64"/>
      <c r="AH106" s="64"/>
      <c r="AI106" s="313"/>
      <c r="AJ106" s="64"/>
      <c r="AK106" s="73"/>
      <c r="AL106" s="474" t="s">
        <v>9</v>
      </c>
      <c r="AM106" s="475"/>
      <c r="AN106" s="67"/>
      <c r="AO106" s="487">
        <f>SUM(AQ107:AT107)</f>
        <v>19</v>
      </c>
      <c r="AP106" s="556"/>
      <c r="AQ106" s="68"/>
      <c r="AR106" s="64"/>
      <c r="AS106" s="64"/>
      <c r="AT106" s="64"/>
      <c r="AU106" s="313"/>
      <c r="AV106" s="64"/>
      <c r="AW106" s="73"/>
    </row>
    <row r="107" spans="1:49" s="78" customFormat="1" ht="21" customHeight="1" thickBot="1" x14ac:dyDescent="0.25">
      <c r="A107" s="528"/>
      <c r="B107" s="473" t="s">
        <v>14</v>
      </c>
      <c r="C107" s="466"/>
      <c r="D107" s="65"/>
      <c r="E107" s="65"/>
      <c r="F107" s="69"/>
      <c r="G107" s="70">
        <f>(G70+G73+G76+G79+G82+G85+G88+G91+G94+G97+G100)/14</f>
        <v>0</v>
      </c>
      <c r="H107" s="70">
        <f>(H70+H73+H76+H79+H82+H85+H88+H91+H94+H97+H100)/14</f>
        <v>1</v>
      </c>
      <c r="I107" s="70">
        <f>(I70+I73+I76+I79+I82+I85+I88+I91+I94+I97+I100)/14</f>
        <v>9</v>
      </c>
      <c r="J107" s="70">
        <f>(J70+J73+J76+J79+J82+J85+J88+J91+J94+J97+J100)/14</f>
        <v>2</v>
      </c>
      <c r="K107" s="465" t="s">
        <v>15</v>
      </c>
      <c r="L107" s="466"/>
      <c r="M107" s="467"/>
      <c r="N107" s="473" t="s">
        <v>14</v>
      </c>
      <c r="O107" s="466"/>
      <c r="P107" s="65"/>
      <c r="Q107" s="65"/>
      <c r="R107" s="69"/>
      <c r="S107" s="70">
        <f>(S70+S73+S76+S79+S82+S85+S88+S91+S94+S97+S100)/14</f>
        <v>0</v>
      </c>
      <c r="T107" s="70">
        <f>(T70+T73+T76+T79+T82+T85+T88+T91+T94+T97+T100)/14</f>
        <v>1</v>
      </c>
      <c r="U107" s="70">
        <f>(U70+U73+U76+U79+U82+U85+U88+U91+U94+U97+U100)/14</f>
        <v>9</v>
      </c>
      <c r="V107" s="70">
        <f>(V70+V73+V76+V79+V82+V85+V88+V91+V94+V97+V100)/14</f>
        <v>3</v>
      </c>
      <c r="W107" s="465" t="s">
        <v>15</v>
      </c>
      <c r="X107" s="466"/>
      <c r="Y107" s="467"/>
      <c r="Z107" s="473" t="s">
        <v>14</v>
      </c>
      <c r="AA107" s="466"/>
      <c r="AB107" s="65"/>
      <c r="AC107" s="65"/>
      <c r="AD107" s="69"/>
      <c r="AE107" s="70">
        <f>(AE70+AE73+AE76+AE79+AE82+AE85+AE88+AE91+AE94+AE97+AE100)/14</f>
        <v>0</v>
      </c>
      <c r="AF107" s="70">
        <f>(AF70+AF73+AF76+AF79+AF82+AF85+AF88+AF91+AF94+AF97+AF100)/14</f>
        <v>1</v>
      </c>
      <c r="AG107" s="70">
        <f>(AG70+AG73+AG76+AG79+AG82+AG85+AG88+AG91+AG94+AG97+AG100)/14</f>
        <v>6.5</v>
      </c>
      <c r="AH107" s="70">
        <f>(AH70+AH73+AH76+AH79+AH82+AH85+AH88+AH91+AH94+AH97+AH100)/14</f>
        <v>5.5</v>
      </c>
      <c r="AI107" s="465" t="s">
        <v>15</v>
      </c>
      <c r="AJ107" s="466"/>
      <c r="AK107" s="467"/>
      <c r="AL107" s="473" t="s">
        <v>14</v>
      </c>
      <c r="AM107" s="466"/>
      <c r="AN107" s="65"/>
      <c r="AO107" s="65"/>
      <c r="AP107" s="69"/>
      <c r="AQ107" s="70">
        <f>(AQ70+AQ73+AQ76+AQ79+AQ82+AQ85+AQ88+AQ91+AQ94+AQ97+AQ100)/14</f>
        <v>0</v>
      </c>
      <c r="AR107" s="70">
        <f>(AR70+AR73+AR76+AR79+AR82+AR85+AR88+AR91+AR94+AR97+AR100)/14</f>
        <v>0</v>
      </c>
      <c r="AS107" s="70">
        <f>(AS70+AS73+AS76+AS79+AS82+AS85+AS88+AS91+AS94+AS97+AS100)/14</f>
        <v>5</v>
      </c>
      <c r="AT107" s="70">
        <f>(AT70+AT73+AT76+AT79+AT82+AT85+AT88+AT91+AT94+AT97+AT100)/14</f>
        <v>14</v>
      </c>
      <c r="AU107" s="465" t="s">
        <v>15</v>
      </c>
      <c r="AV107" s="466"/>
      <c r="AW107" s="467"/>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3" t="s">
        <v>384</v>
      </c>
      <c r="B109" s="464"/>
      <c r="C109" s="464"/>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4" t="s">
        <v>18</v>
      </c>
      <c r="O112" s="575"/>
      <c r="P112" s="575"/>
      <c r="Q112" s="575"/>
      <c r="R112" s="575"/>
      <c r="S112" s="575"/>
      <c r="T112" s="575"/>
      <c r="U112" s="575"/>
      <c r="V112" s="575"/>
      <c r="W112" s="575"/>
      <c r="X112" s="575"/>
      <c r="Y112" s="576"/>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2" t="s">
        <v>21</v>
      </c>
      <c r="O113" s="563"/>
      <c r="P113" s="564"/>
      <c r="Q113" s="35" t="s">
        <v>22</v>
      </c>
      <c r="R113" s="36" t="s">
        <v>23</v>
      </c>
      <c r="S113" s="37" t="s">
        <v>24</v>
      </c>
      <c r="T113" s="38" t="s">
        <v>25</v>
      </c>
      <c r="U113" s="38" t="s">
        <v>26</v>
      </c>
      <c r="V113" s="362" t="s">
        <v>27</v>
      </c>
      <c r="W113" s="36" t="s">
        <v>280</v>
      </c>
      <c r="X113" s="13" t="s">
        <v>28</v>
      </c>
      <c r="Y113" s="12" t="s">
        <v>29</v>
      </c>
      <c r="Z113" s="10"/>
      <c r="AA113" s="561" t="s">
        <v>30</v>
      </c>
      <c r="AB113" s="561"/>
      <c r="AC113" s="561"/>
      <c r="AD113" s="561"/>
      <c r="AE113" s="561"/>
      <c r="AF113" s="561"/>
      <c r="AG113" s="561"/>
      <c r="AH113" s="561"/>
      <c r="AI113" s="561"/>
      <c r="AJ113" s="561"/>
      <c r="AK113" s="566"/>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5" t="s">
        <v>37</v>
      </c>
      <c r="O117" s="565"/>
      <c r="P117" s="565"/>
      <c r="Q117" s="565"/>
      <c r="R117" s="565"/>
      <c r="S117" s="565"/>
      <c r="T117" s="565"/>
      <c r="U117" s="565"/>
      <c r="V117" s="565"/>
      <c r="W117" s="565"/>
      <c r="X117" s="565"/>
      <c r="Y117" s="565"/>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1" t="s">
        <v>40</v>
      </c>
      <c r="O118" s="561"/>
      <c r="P118" s="561"/>
      <c r="Q118" s="561"/>
      <c r="R118" s="561"/>
      <c r="S118" s="561"/>
      <c r="T118" s="561"/>
      <c r="U118" s="561"/>
      <c r="V118" s="561"/>
      <c r="W118" s="561"/>
      <c r="X118" s="561"/>
      <c r="Y118" s="561"/>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1" t="s">
        <v>70</v>
      </c>
      <c r="O119" s="561"/>
      <c r="P119" s="561"/>
      <c r="Q119" s="561"/>
      <c r="R119" s="561"/>
      <c r="S119" s="561"/>
      <c r="T119" s="561"/>
      <c r="U119" s="561"/>
      <c r="V119" s="561"/>
      <c r="W119" s="561"/>
      <c r="X119" s="561"/>
      <c r="Y119" s="56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72" t="s">
        <v>44</v>
      </c>
      <c r="AA120" s="572"/>
      <c r="AB120" s="572"/>
      <c r="AC120" s="572"/>
      <c r="AD120" s="572"/>
      <c r="AE120" s="572"/>
      <c r="AF120" s="572"/>
      <c r="AG120" s="572"/>
      <c r="AH120" s="572"/>
      <c r="AI120" s="572"/>
      <c r="AJ120" s="572"/>
      <c r="AK120" s="573"/>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5" t="s">
        <v>19</v>
      </c>
      <c r="O121" s="565"/>
      <c r="P121" s="565"/>
      <c r="Q121" s="565"/>
      <c r="R121" s="565"/>
      <c r="S121" s="565"/>
      <c r="T121" s="10"/>
      <c r="U121" s="10"/>
      <c r="V121" s="9" t="s">
        <v>20</v>
      </c>
      <c r="W121" s="10"/>
      <c r="X121" s="22"/>
      <c r="Y121" s="22"/>
      <c r="Z121" s="488" t="str">
        <f>B19</f>
        <v>Analiza matematica</v>
      </c>
      <c r="AA121" s="489"/>
      <c r="AB121" s="489"/>
      <c r="AC121" s="489"/>
      <c r="AD121" s="489"/>
      <c r="AE121" s="489"/>
      <c r="AF121" s="489"/>
      <c r="AG121" s="489"/>
      <c r="AH121" s="489"/>
      <c r="AI121" s="489"/>
      <c r="AJ121" s="489"/>
      <c r="AK121" s="560"/>
      <c r="AL121" s="4"/>
      <c r="AM121" s="21"/>
      <c r="AN121" s="21"/>
      <c r="AO121" s="21"/>
      <c r="AP121" s="21"/>
      <c r="AQ121" s="21"/>
      <c r="AR121" s="21"/>
      <c r="AS121" s="21"/>
      <c r="AT121" s="21"/>
      <c r="AU121" s="21"/>
      <c r="AV121" s="5"/>
      <c r="AW121" s="5"/>
    </row>
    <row r="122" spans="1:49" s="78" customFormat="1" ht="21" customHeight="1" thickTop="1" thickBot="1" x14ac:dyDescent="0.3">
      <c r="A122" s="6"/>
      <c r="B122" s="468" t="s">
        <v>39</v>
      </c>
      <c r="C122" s="468"/>
      <c r="D122" s="468"/>
      <c r="E122" s="468"/>
      <c r="F122" s="468"/>
      <c r="G122" s="468"/>
      <c r="H122" s="468"/>
      <c r="I122" s="468"/>
      <c r="J122" s="7"/>
      <c r="K122" s="7"/>
      <c r="L122" s="8"/>
      <c r="M122" s="47"/>
      <c r="N122" s="52"/>
      <c r="O122" s="389"/>
      <c r="P122" s="53"/>
      <c r="Q122" s="53"/>
      <c r="R122" s="53"/>
      <c r="S122" s="53"/>
      <c r="T122" s="53"/>
      <c r="U122" s="53"/>
      <c r="V122" s="53"/>
      <c r="W122" s="53"/>
      <c r="X122" s="54"/>
      <c r="Y122" s="54"/>
      <c r="Z122" s="557" t="s">
        <v>21</v>
      </c>
      <c r="AA122" s="558"/>
      <c r="AB122" s="559"/>
      <c r="AC122" s="55">
        <f>E21</f>
        <v>4</v>
      </c>
      <c r="AD122" s="55" t="str">
        <f t="shared" ref="AD122:AK122" si="0">F21</f>
        <v>E</v>
      </c>
      <c r="AE122" s="55">
        <f t="shared" si="0"/>
        <v>0</v>
      </c>
      <c r="AF122" s="55">
        <f t="shared" si="0"/>
        <v>28</v>
      </c>
      <c r="AG122" s="55">
        <f t="shared" si="0"/>
        <v>0</v>
      </c>
      <c r="AH122" s="55">
        <f t="shared" si="0"/>
        <v>0</v>
      </c>
      <c r="AI122" s="315">
        <f t="shared" si="0"/>
        <v>0</v>
      </c>
      <c r="AJ122" s="56" t="str">
        <f t="shared" si="0"/>
        <v>DF</v>
      </c>
      <c r="AK122" s="57">
        <f t="shared" si="0"/>
        <v>72</v>
      </c>
      <c r="AL122" s="4"/>
      <c r="AM122" s="4"/>
      <c r="AN122" s="468" t="s">
        <v>42</v>
      </c>
      <c r="AO122" s="468"/>
      <c r="AP122" s="468"/>
      <c r="AQ122" s="468"/>
      <c r="AR122" s="468"/>
      <c r="AS122" s="468"/>
      <c r="AT122" s="468"/>
      <c r="AU122" s="468"/>
      <c r="AV122" s="5"/>
      <c r="AW122" s="5"/>
    </row>
    <row r="123" spans="1:49" s="59" customFormat="1" ht="21" customHeight="1" x14ac:dyDescent="0.2">
      <c r="B123" s="469" t="str">
        <f>Coperta!B$46</f>
        <v>Conf.univ.dr.ing. Florin DRĂGAN</v>
      </c>
      <c r="C123" s="469"/>
      <c r="D123" s="469"/>
      <c r="E123" s="469"/>
      <c r="F123" s="469"/>
      <c r="G123" s="469"/>
      <c r="H123" s="469"/>
      <c r="I123" s="469"/>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9" t="str">
        <f>Coperta!N$46</f>
        <v>Conf.univ.dr.ing. Virgil STOICA</v>
      </c>
      <c r="AO123" s="469"/>
      <c r="AP123" s="469"/>
      <c r="AQ123" s="469"/>
      <c r="AR123" s="469"/>
      <c r="AS123" s="469"/>
      <c r="AT123" s="469"/>
      <c r="AU123" s="469"/>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industrială</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Tehnologia Constructiilor de Masini</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0" t="s">
        <v>82</v>
      </c>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row>
    <row r="139" spans="1:49" s="78" customFormat="1" ht="21" customHeight="1" thickBot="1" x14ac:dyDescent="0.25">
      <c r="A139" s="510" t="str">
        <f>A16</f>
        <v>Pentru seria de studenti 2019-2022</v>
      </c>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row>
    <row r="140" spans="1:49" s="78" customFormat="1" ht="21" customHeight="1" thickTop="1" thickBot="1" x14ac:dyDescent="0.3">
      <c r="B140" s="511" t="str">
        <f>B17</f>
        <v>ANUL I (2019-2020)</v>
      </c>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24" t="str">
        <f>Z17</f>
        <v>ANUL II (2020-2021)</v>
      </c>
      <c r="AA140" s="525"/>
      <c r="AB140" s="525"/>
      <c r="AC140" s="525"/>
      <c r="AD140" s="525"/>
      <c r="AE140" s="525"/>
      <c r="AF140" s="525"/>
      <c r="AG140" s="525"/>
      <c r="AH140" s="525"/>
      <c r="AI140" s="525"/>
      <c r="AJ140" s="525"/>
      <c r="AK140" s="525"/>
      <c r="AL140" s="525"/>
      <c r="AM140" s="525"/>
      <c r="AN140" s="525"/>
      <c r="AO140" s="525"/>
      <c r="AP140" s="525"/>
      <c r="AQ140" s="525"/>
      <c r="AR140" s="525"/>
      <c r="AS140" s="525"/>
      <c r="AT140" s="525"/>
      <c r="AU140" s="525"/>
      <c r="AV140" s="525"/>
      <c r="AW140" s="525"/>
    </row>
    <row r="141" spans="1:49" s="75" customFormat="1" ht="21" customHeight="1" thickTop="1" thickBot="1" x14ac:dyDescent="0.3">
      <c r="A141" s="60"/>
      <c r="B141" s="488" t="s">
        <v>1</v>
      </c>
      <c r="C141" s="489"/>
      <c r="D141" s="489"/>
      <c r="E141" s="489"/>
      <c r="F141" s="489"/>
      <c r="G141" s="489"/>
      <c r="H141" s="489"/>
      <c r="I141" s="489"/>
      <c r="J141" s="489"/>
      <c r="K141" s="489"/>
      <c r="L141" s="489"/>
      <c r="M141" s="489"/>
      <c r="N141" s="489" t="s">
        <v>2</v>
      </c>
      <c r="O141" s="489"/>
      <c r="P141" s="489"/>
      <c r="Q141" s="489"/>
      <c r="R141" s="489"/>
      <c r="S141" s="489"/>
      <c r="T141" s="489"/>
      <c r="U141" s="489"/>
      <c r="V141" s="489"/>
      <c r="W141" s="489"/>
      <c r="X141" s="489"/>
      <c r="Y141" s="489"/>
      <c r="Z141" s="488" t="s">
        <v>3</v>
      </c>
      <c r="AA141" s="489"/>
      <c r="AB141" s="489"/>
      <c r="AC141" s="489"/>
      <c r="AD141" s="489"/>
      <c r="AE141" s="489"/>
      <c r="AF141" s="489"/>
      <c r="AG141" s="489"/>
      <c r="AH141" s="489"/>
      <c r="AI141" s="489"/>
      <c r="AJ141" s="489"/>
      <c r="AK141" s="489"/>
      <c r="AL141" s="489" t="s">
        <v>4</v>
      </c>
      <c r="AM141" s="489"/>
      <c r="AN141" s="489"/>
      <c r="AO141" s="489"/>
      <c r="AP141" s="489"/>
      <c r="AQ141" s="489"/>
      <c r="AR141" s="489"/>
      <c r="AS141" s="489"/>
      <c r="AT141" s="489"/>
      <c r="AU141" s="489"/>
      <c r="AV141" s="489"/>
      <c r="AW141" s="489"/>
    </row>
    <row r="142" spans="1:49" s="75" customFormat="1" ht="21" customHeight="1" thickTop="1" x14ac:dyDescent="0.25">
      <c r="A142" s="513" t="s">
        <v>66</v>
      </c>
      <c r="B142" s="501"/>
      <c r="C142" s="502"/>
      <c r="D142" s="502"/>
      <c r="E142" s="502"/>
      <c r="F142" s="502"/>
      <c r="G142" s="502"/>
      <c r="H142" s="502"/>
      <c r="I142" s="502"/>
      <c r="J142" s="502"/>
      <c r="K142" s="502"/>
      <c r="L142" s="502"/>
      <c r="M142" s="503"/>
      <c r="N142" s="501"/>
      <c r="O142" s="502"/>
      <c r="P142" s="502"/>
      <c r="Q142" s="502"/>
      <c r="R142" s="502"/>
      <c r="S142" s="502"/>
      <c r="T142" s="502"/>
      <c r="U142" s="502"/>
      <c r="V142" s="502"/>
      <c r="W142" s="502"/>
      <c r="X142" s="502"/>
      <c r="Y142" s="503"/>
      <c r="Z142" s="501"/>
      <c r="AA142" s="502"/>
      <c r="AB142" s="502"/>
      <c r="AC142" s="502"/>
      <c r="AD142" s="502"/>
      <c r="AE142" s="502"/>
      <c r="AF142" s="502"/>
      <c r="AG142" s="502"/>
      <c r="AH142" s="502"/>
      <c r="AI142" s="502"/>
      <c r="AJ142" s="502"/>
      <c r="AK142" s="503"/>
      <c r="AL142" s="501"/>
      <c r="AM142" s="502"/>
      <c r="AN142" s="502"/>
      <c r="AO142" s="502"/>
      <c r="AP142" s="502"/>
      <c r="AQ142" s="502"/>
      <c r="AR142" s="502"/>
      <c r="AS142" s="502"/>
      <c r="AT142" s="502"/>
      <c r="AU142" s="502"/>
      <c r="AV142" s="502"/>
      <c r="AW142" s="503"/>
    </row>
    <row r="143" spans="1:49" s="75" customFormat="1" ht="21" customHeight="1" x14ac:dyDescent="0.25">
      <c r="A143" s="514"/>
      <c r="B143" s="504"/>
      <c r="C143" s="505"/>
      <c r="D143" s="505"/>
      <c r="E143" s="505"/>
      <c r="F143" s="505"/>
      <c r="G143" s="505"/>
      <c r="H143" s="505"/>
      <c r="I143" s="505"/>
      <c r="J143" s="505"/>
      <c r="K143" s="505"/>
      <c r="L143" s="505"/>
      <c r="M143" s="506"/>
      <c r="N143" s="504"/>
      <c r="O143" s="505"/>
      <c r="P143" s="505"/>
      <c r="Q143" s="505"/>
      <c r="R143" s="505"/>
      <c r="S143" s="505"/>
      <c r="T143" s="505"/>
      <c r="U143" s="505"/>
      <c r="V143" s="505"/>
      <c r="W143" s="505"/>
      <c r="X143" s="505"/>
      <c r="Y143" s="506"/>
      <c r="Z143" s="504"/>
      <c r="AA143" s="505"/>
      <c r="AB143" s="505"/>
      <c r="AC143" s="505"/>
      <c r="AD143" s="505"/>
      <c r="AE143" s="505"/>
      <c r="AF143" s="505"/>
      <c r="AG143" s="505"/>
      <c r="AH143" s="505"/>
      <c r="AI143" s="505"/>
      <c r="AJ143" s="505"/>
      <c r="AK143" s="506"/>
      <c r="AL143" s="504"/>
      <c r="AM143" s="505"/>
      <c r="AN143" s="505"/>
      <c r="AO143" s="505"/>
      <c r="AP143" s="505"/>
      <c r="AQ143" s="505"/>
      <c r="AR143" s="505"/>
      <c r="AS143" s="505"/>
      <c r="AT143" s="505"/>
      <c r="AU143" s="505"/>
      <c r="AV143" s="505"/>
      <c r="AW143" s="506"/>
    </row>
    <row r="144" spans="1:49" s="75" customFormat="1" ht="21" customHeight="1" thickBot="1" x14ac:dyDescent="0.3">
      <c r="A144" s="515"/>
      <c r="B144" s="490" t="str">
        <f>IF(ISBLANK(B142),"",CONCATENATE(LEFT(INDEX(B$19:B$49,MATCH(LEFT(B142,11)&amp;"*",B$19:B$49,0)+2),FIND("-",INDEX(B$19:B$49,MATCH(LEFT(B142,11)&amp;"*",B$19:B$49,0)+2))),$A142))</f>
        <v/>
      </c>
      <c r="C144" s="491"/>
      <c r="D144" s="492"/>
      <c r="E144" s="309"/>
      <c r="F144" s="203"/>
      <c r="G144" s="199"/>
      <c r="H144" s="201"/>
      <c r="I144" s="201"/>
      <c r="J144" s="200"/>
      <c r="K144" s="202"/>
      <c r="L144" s="202"/>
      <c r="M144" s="203"/>
      <c r="N144" s="490" t="str">
        <f>IF(ISBLANK(N142),"",CONCATENATE(LEFT(INDEX(N$19:N$49,MATCH(LEFT(N142,11)&amp;"*",N$19:N$49,0)+2),FIND("-",INDEX(N$19:N$49,MATCH(LEFT(N142,11)&amp;"*",N$19:N$49,0)+2))),$A142))</f>
        <v/>
      </c>
      <c r="O144" s="491"/>
      <c r="P144" s="492"/>
      <c r="Q144" s="309"/>
      <c r="R144" s="203"/>
      <c r="S144" s="199"/>
      <c r="T144" s="201"/>
      <c r="U144" s="201"/>
      <c r="V144" s="200"/>
      <c r="W144" s="202"/>
      <c r="X144" s="202"/>
      <c r="Y144" s="203"/>
      <c r="Z144" s="490" t="str">
        <f>IF(ISBLANK(Z142),"",CONCATENATE(LEFT(INDEX(Z$19:Z$49,MATCH(LEFT(Z142,11)&amp;"*",Z$19:Z$49,0)+2),FIND("-",INDEX(Z$19:Z$49,MATCH(LEFT(Z142,11)&amp;"*",Z$19:Z$49,0)+2))),$A142))</f>
        <v/>
      </c>
      <c r="AA144" s="491"/>
      <c r="AB144" s="492"/>
      <c r="AC144" s="309"/>
      <c r="AD144" s="203"/>
      <c r="AE144" s="199"/>
      <c r="AF144" s="201"/>
      <c r="AG144" s="201"/>
      <c r="AH144" s="200"/>
      <c r="AI144" s="202"/>
      <c r="AJ144" s="202"/>
      <c r="AK144" s="203"/>
      <c r="AL144" s="490" t="str">
        <f>IF(ISBLANK(AL142),"",CONCATENATE(LEFT(INDEX(AL$19:AL$49,MATCH(LEFT(AL142,11)&amp;"*",AL$19:AL$49,0)+2),FIND("-",INDEX(AL$19:AL$49,MATCH(LEFT(AL142,11)&amp;"*",AL$19:AL$49,0)+2))),$A142))</f>
        <v/>
      </c>
      <c r="AM144" s="491"/>
      <c r="AN144" s="492"/>
      <c r="AO144" s="305"/>
      <c r="AP144" s="210"/>
      <c r="AQ144" s="205"/>
      <c r="AR144" s="207"/>
      <c r="AS144" s="207"/>
      <c r="AT144" s="206"/>
      <c r="AU144" s="209"/>
      <c r="AV144" s="187"/>
      <c r="AW144" s="187"/>
    </row>
    <row r="145" spans="1:49" s="75" customFormat="1" ht="21" customHeight="1" thickTop="1" x14ac:dyDescent="0.25">
      <c r="A145" s="513" t="s">
        <v>67</v>
      </c>
      <c r="B145" s="501"/>
      <c r="C145" s="502"/>
      <c r="D145" s="502"/>
      <c r="E145" s="502"/>
      <c r="F145" s="502"/>
      <c r="G145" s="502"/>
      <c r="H145" s="502"/>
      <c r="I145" s="502"/>
      <c r="J145" s="502"/>
      <c r="K145" s="502"/>
      <c r="L145" s="502"/>
      <c r="M145" s="503"/>
      <c r="N145" s="501"/>
      <c r="O145" s="502"/>
      <c r="P145" s="502"/>
      <c r="Q145" s="502"/>
      <c r="R145" s="502"/>
      <c r="S145" s="502"/>
      <c r="T145" s="502"/>
      <c r="U145" s="502"/>
      <c r="V145" s="502"/>
      <c r="W145" s="502"/>
      <c r="X145" s="502"/>
      <c r="Y145" s="503"/>
      <c r="Z145" s="501"/>
      <c r="AA145" s="502"/>
      <c r="AB145" s="502"/>
      <c r="AC145" s="502"/>
      <c r="AD145" s="502"/>
      <c r="AE145" s="502"/>
      <c r="AF145" s="502"/>
      <c r="AG145" s="502"/>
      <c r="AH145" s="502"/>
      <c r="AI145" s="502"/>
      <c r="AJ145" s="502"/>
      <c r="AK145" s="503"/>
      <c r="AL145" s="501"/>
      <c r="AM145" s="502"/>
      <c r="AN145" s="502"/>
      <c r="AO145" s="502"/>
      <c r="AP145" s="502"/>
      <c r="AQ145" s="502"/>
      <c r="AR145" s="502"/>
      <c r="AS145" s="502"/>
      <c r="AT145" s="502"/>
      <c r="AU145" s="502"/>
      <c r="AV145" s="502"/>
      <c r="AW145" s="503"/>
    </row>
    <row r="146" spans="1:49" s="75" customFormat="1" ht="21" customHeight="1" x14ac:dyDescent="0.25">
      <c r="A146" s="514"/>
      <c r="B146" s="504"/>
      <c r="C146" s="505"/>
      <c r="D146" s="505"/>
      <c r="E146" s="505"/>
      <c r="F146" s="505"/>
      <c r="G146" s="505"/>
      <c r="H146" s="505"/>
      <c r="I146" s="505"/>
      <c r="J146" s="505"/>
      <c r="K146" s="505"/>
      <c r="L146" s="505"/>
      <c r="M146" s="506"/>
      <c r="N146" s="504"/>
      <c r="O146" s="505"/>
      <c r="P146" s="505"/>
      <c r="Q146" s="505"/>
      <c r="R146" s="505"/>
      <c r="S146" s="505"/>
      <c r="T146" s="505"/>
      <c r="U146" s="505"/>
      <c r="V146" s="505"/>
      <c r="W146" s="505"/>
      <c r="X146" s="505"/>
      <c r="Y146" s="506"/>
      <c r="Z146" s="504"/>
      <c r="AA146" s="505"/>
      <c r="AB146" s="505"/>
      <c r="AC146" s="505"/>
      <c r="AD146" s="505"/>
      <c r="AE146" s="505"/>
      <c r="AF146" s="505"/>
      <c r="AG146" s="505"/>
      <c r="AH146" s="505"/>
      <c r="AI146" s="505"/>
      <c r="AJ146" s="505"/>
      <c r="AK146" s="506"/>
      <c r="AL146" s="504"/>
      <c r="AM146" s="505"/>
      <c r="AN146" s="505"/>
      <c r="AO146" s="505"/>
      <c r="AP146" s="505"/>
      <c r="AQ146" s="505"/>
      <c r="AR146" s="505"/>
      <c r="AS146" s="505"/>
      <c r="AT146" s="505"/>
      <c r="AU146" s="505"/>
      <c r="AV146" s="505"/>
      <c r="AW146" s="506"/>
    </row>
    <row r="147" spans="1:49" s="75" customFormat="1" ht="21" customHeight="1" thickBot="1" x14ac:dyDescent="0.3">
      <c r="A147" s="515"/>
      <c r="B147" s="490" t="str">
        <f>IF(ISBLANK(B145),"",CONCATENATE(LEFT(INDEX(B$19:B$49,MATCH(LEFT(B145,11)&amp;"*",B$19:B$49,0)+2),FIND("-",INDEX(B$19:B$49,MATCH(LEFT(B145,11)&amp;"*",B$19:B$49,0)+2))),$A145))</f>
        <v/>
      </c>
      <c r="C147" s="491"/>
      <c r="D147" s="492"/>
      <c r="E147" s="309"/>
      <c r="F147" s="203"/>
      <c r="G147" s="199"/>
      <c r="H147" s="201"/>
      <c r="I147" s="201"/>
      <c r="J147" s="200"/>
      <c r="K147" s="202"/>
      <c r="L147" s="202"/>
      <c r="M147" s="203"/>
      <c r="N147" s="490" t="str">
        <f>IF(ISBLANK(N145),"",CONCATENATE(LEFT(INDEX(N$19:N$49,MATCH(LEFT(N145,11)&amp;"*",N$19:N$49,0)+2),FIND("-",INDEX(N$19:N$49,MATCH(LEFT(N145,11)&amp;"*",N$19:N$49,0)+2))),$A145))</f>
        <v/>
      </c>
      <c r="O147" s="491"/>
      <c r="P147" s="492"/>
      <c r="Q147" s="309"/>
      <c r="R147" s="203"/>
      <c r="S147" s="199"/>
      <c r="T147" s="201"/>
      <c r="U147" s="201"/>
      <c r="V147" s="200"/>
      <c r="W147" s="202"/>
      <c r="X147" s="202"/>
      <c r="Y147" s="203"/>
      <c r="Z147" s="490" t="str">
        <f>IF(ISBLANK(Z145),"",CONCATENATE(LEFT(INDEX(Z$19:Z$49,MATCH(LEFT(Z145,11)&amp;"*",Z$19:Z$49,0)+2),FIND("-",INDEX(Z$19:Z$49,MATCH(LEFT(Z145,11)&amp;"*",Z$19:Z$49,0)+2))),$A145))</f>
        <v/>
      </c>
      <c r="AA147" s="491"/>
      <c r="AB147" s="492"/>
      <c r="AC147" s="309"/>
      <c r="AD147" s="203"/>
      <c r="AE147" s="199"/>
      <c r="AF147" s="201"/>
      <c r="AG147" s="201"/>
      <c r="AH147" s="200"/>
      <c r="AI147" s="202"/>
      <c r="AJ147" s="202"/>
      <c r="AK147" s="203"/>
      <c r="AL147" s="490" t="str">
        <f>IF(ISBLANK(AL145),"",CONCATENATE(LEFT(INDEX(AL$19:AL$49,MATCH(LEFT(AL145,11)&amp;"*",AL$19:AL$49,0)+2),FIND("-",INDEX(AL$19:AL$49,MATCH(LEFT(AL145,11)&amp;"*",AL$19:AL$49,0)+2))),$A145))</f>
        <v/>
      </c>
      <c r="AM147" s="491"/>
      <c r="AN147" s="492"/>
      <c r="AO147" s="305"/>
      <c r="AP147" s="210"/>
      <c r="AQ147" s="205"/>
      <c r="AR147" s="207"/>
      <c r="AS147" s="207"/>
      <c r="AT147" s="206"/>
      <c r="AU147" s="209"/>
      <c r="AV147" s="187"/>
      <c r="AW147" s="187"/>
    </row>
    <row r="148" spans="1:49" s="75" customFormat="1" ht="21" customHeight="1" thickTop="1" x14ac:dyDescent="0.25">
      <c r="A148" s="513" t="s">
        <v>68</v>
      </c>
      <c r="B148" s="501"/>
      <c r="C148" s="502"/>
      <c r="D148" s="502"/>
      <c r="E148" s="502"/>
      <c r="F148" s="502"/>
      <c r="G148" s="502"/>
      <c r="H148" s="502"/>
      <c r="I148" s="502"/>
      <c r="J148" s="502"/>
      <c r="K148" s="502"/>
      <c r="L148" s="502"/>
      <c r="M148" s="503"/>
      <c r="N148" s="501"/>
      <c r="O148" s="502"/>
      <c r="P148" s="502"/>
      <c r="Q148" s="502"/>
      <c r="R148" s="502"/>
      <c r="S148" s="502"/>
      <c r="T148" s="502"/>
      <c r="U148" s="502"/>
      <c r="V148" s="502"/>
      <c r="W148" s="502"/>
      <c r="X148" s="502"/>
      <c r="Y148" s="503"/>
      <c r="Z148" s="501"/>
      <c r="AA148" s="502"/>
      <c r="AB148" s="502"/>
      <c r="AC148" s="502"/>
      <c r="AD148" s="502"/>
      <c r="AE148" s="502"/>
      <c r="AF148" s="502"/>
      <c r="AG148" s="502"/>
      <c r="AH148" s="502"/>
      <c r="AI148" s="502"/>
      <c r="AJ148" s="502"/>
      <c r="AK148" s="503"/>
      <c r="AL148" s="501"/>
      <c r="AM148" s="502"/>
      <c r="AN148" s="502"/>
      <c r="AO148" s="502"/>
      <c r="AP148" s="502"/>
      <c r="AQ148" s="502"/>
      <c r="AR148" s="502"/>
      <c r="AS148" s="502"/>
      <c r="AT148" s="502"/>
      <c r="AU148" s="502"/>
      <c r="AV148" s="502"/>
      <c r="AW148" s="503"/>
    </row>
    <row r="149" spans="1:49" s="75" customFormat="1" ht="21" customHeight="1" x14ac:dyDescent="0.25">
      <c r="A149" s="514"/>
      <c r="B149" s="504"/>
      <c r="C149" s="505"/>
      <c r="D149" s="505"/>
      <c r="E149" s="505"/>
      <c r="F149" s="505"/>
      <c r="G149" s="505"/>
      <c r="H149" s="505"/>
      <c r="I149" s="505"/>
      <c r="J149" s="505"/>
      <c r="K149" s="505"/>
      <c r="L149" s="505"/>
      <c r="M149" s="506"/>
      <c r="N149" s="504"/>
      <c r="O149" s="505"/>
      <c r="P149" s="505"/>
      <c r="Q149" s="505"/>
      <c r="R149" s="505"/>
      <c r="S149" s="505"/>
      <c r="T149" s="505"/>
      <c r="U149" s="505"/>
      <c r="V149" s="505"/>
      <c r="W149" s="505"/>
      <c r="X149" s="505"/>
      <c r="Y149" s="506"/>
      <c r="Z149" s="504"/>
      <c r="AA149" s="505"/>
      <c r="AB149" s="505"/>
      <c r="AC149" s="505"/>
      <c r="AD149" s="505"/>
      <c r="AE149" s="505"/>
      <c r="AF149" s="505"/>
      <c r="AG149" s="505"/>
      <c r="AH149" s="505"/>
      <c r="AI149" s="505"/>
      <c r="AJ149" s="505"/>
      <c r="AK149" s="506"/>
      <c r="AL149" s="504"/>
      <c r="AM149" s="505"/>
      <c r="AN149" s="505"/>
      <c r="AO149" s="505"/>
      <c r="AP149" s="505"/>
      <c r="AQ149" s="505"/>
      <c r="AR149" s="505"/>
      <c r="AS149" s="505"/>
      <c r="AT149" s="505"/>
      <c r="AU149" s="505"/>
      <c r="AV149" s="505"/>
      <c r="AW149" s="506"/>
    </row>
    <row r="150" spans="1:49" s="75" customFormat="1" ht="21" customHeight="1" thickBot="1" x14ac:dyDescent="0.3">
      <c r="A150" s="515"/>
      <c r="B150" s="490" t="str">
        <f>IF(ISBLANK(B148),"",CONCATENATE(LEFT(INDEX(B$19:B$49,MATCH(LEFT(B148,11)&amp;"*",B$19:B$49,0)+2),FIND("-",INDEX(B$19:B$49,MATCH(LEFT(B148,11)&amp;"*",B$19:B$49,0)+2))),$A148))</f>
        <v/>
      </c>
      <c r="C150" s="491"/>
      <c r="D150" s="492"/>
      <c r="E150" s="309"/>
      <c r="F150" s="203"/>
      <c r="G150" s="199"/>
      <c r="H150" s="201"/>
      <c r="I150" s="201"/>
      <c r="J150" s="200"/>
      <c r="K150" s="202"/>
      <c r="L150" s="202"/>
      <c r="M150" s="203"/>
      <c r="N150" s="490" t="str">
        <f>IF(ISBLANK(N148),"",CONCATENATE(LEFT(INDEX(N$19:N$49,MATCH(LEFT(N148,11)&amp;"*",N$19:N$49,0)+2),FIND("-",INDEX(N$19:N$49,MATCH(LEFT(N148,11)&amp;"*",N$19:N$49,0)+2))),$A148))</f>
        <v/>
      </c>
      <c r="O150" s="491"/>
      <c r="P150" s="492"/>
      <c r="Q150" s="309"/>
      <c r="R150" s="203"/>
      <c r="S150" s="199"/>
      <c r="T150" s="201"/>
      <c r="U150" s="201"/>
      <c r="V150" s="200"/>
      <c r="W150" s="202"/>
      <c r="X150" s="202"/>
      <c r="Y150" s="203"/>
      <c r="Z150" s="490" t="str">
        <f>IF(ISBLANK(Z148),"",CONCATENATE(LEFT(INDEX(Z$19:Z$49,MATCH(LEFT(Z148,11)&amp;"*",Z$19:Z$49,0)+2),FIND("-",INDEX(Z$19:Z$49,MATCH(LEFT(Z148,11)&amp;"*",Z$19:Z$49,0)+2))),$A148))</f>
        <v/>
      </c>
      <c r="AA150" s="491"/>
      <c r="AB150" s="492"/>
      <c r="AC150" s="309"/>
      <c r="AD150" s="203"/>
      <c r="AE150" s="199"/>
      <c r="AF150" s="201"/>
      <c r="AG150" s="201"/>
      <c r="AH150" s="200"/>
      <c r="AI150" s="202"/>
      <c r="AJ150" s="202"/>
      <c r="AK150" s="203"/>
      <c r="AL150" s="490" t="str">
        <f>IF(ISBLANK(AL148),"",CONCATENATE(LEFT(INDEX(AL$19:AL$49,MATCH(LEFT(AL148,11)&amp;"*",AL$19:AL$49,0)+2),FIND("-",INDEX(AL$19:AL$49,MATCH(LEFT(AL148,11)&amp;"*",AL$19:AL$49,0)+2))),$A148))</f>
        <v/>
      </c>
      <c r="AM150" s="491"/>
      <c r="AN150" s="492"/>
      <c r="AO150" s="309"/>
      <c r="AP150" s="203"/>
      <c r="AQ150" s="199"/>
      <c r="AR150" s="201"/>
      <c r="AS150" s="201"/>
      <c r="AT150" s="200"/>
      <c r="AU150" s="202"/>
      <c r="AV150" s="202"/>
      <c r="AW150" s="203"/>
    </row>
    <row r="151" spans="1:49" s="75" customFormat="1" ht="21" customHeight="1" thickTop="1" x14ac:dyDescent="0.25">
      <c r="A151" s="513" t="s">
        <v>69</v>
      </c>
      <c r="B151" s="501"/>
      <c r="C151" s="502"/>
      <c r="D151" s="502"/>
      <c r="E151" s="502"/>
      <c r="F151" s="502"/>
      <c r="G151" s="502"/>
      <c r="H151" s="502"/>
      <c r="I151" s="502"/>
      <c r="J151" s="502"/>
      <c r="K151" s="502"/>
      <c r="L151" s="502"/>
      <c r="M151" s="503"/>
      <c r="N151" s="501"/>
      <c r="O151" s="502"/>
      <c r="P151" s="502"/>
      <c r="Q151" s="502"/>
      <c r="R151" s="502"/>
      <c r="S151" s="502"/>
      <c r="T151" s="502"/>
      <c r="U151" s="502"/>
      <c r="V151" s="502"/>
      <c r="W151" s="502"/>
      <c r="X151" s="502"/>
      <c r="Y151" s="503"/>
      <c r="Z151" s="501"/>
      <c r="AA151" s="502"/>
      <c r="AB151" s="502"/>
      <c r="AC151" s="502"/>
      <c r="AD151" s="502"/>
      <c r="AE151" s="502"/>
      <c r="AF151" s="502"/>
      <c r="AG151" s="502"/>
      <c r="AH151" s="502"/>
      <c r="AI151" s="502"/>
      <c r="AJ151" s="502"/>
      <c r="AK151" s="503"/>
      <c r="AL151" s="501"/>
      <c r="AM151" s="502"/>
      <c r="AN151" s="502"/>
      <c r="AO151" s="502"/>
      <c r="AP151" s="502"/>
      <c r="AQ151" s="502"/>
      <c r="AR151" s="502"/>
      <c r="AS151" s="502"/>
      <c r="AT151" s="502"/>
      <c r="AU151" s="502"/>
      <c r="AV151" s="502"/>
      <c r="AW151" s="503"/>
    </row>
    <row r="152" spans="1:49" s="75" customFormat="1" ht="21" customHeight="1" x14ac:dyDescent="0.25">
      <c r="A152" s="514"/>
      <c r="B152" s="504"/>
      <c r="C152" s="505"/>
      <c r="D152" s="505"/>
      <c r="E152" s="505"/>
      <c r="F152" s="505"/>
      <c r="G152" s="505"/>
      <c r="H152" s="505"/>
      <c r="I152" s="505"/>
      <c r="J152" s="505"/>
      <c r="K152" s="505"/>
      <c r="L152" s="505"/>
      <c r="M152" s="506"/>
      <c r="N152" s="504"/>
      <c r="O152" s="505"/>
      <c r="P152" s="505"/>
      <c r="Q152" s="505"/>
      <c r="R152" s="505"/>
      <c r="S152" s="505"/>
      <c r="T152" s="505"/>
      <c r="U152" s="505"/>
      <c r="V152" s="505"/>
      <c r="W152" s="505"/>
      <c r="X152" s="505"/>
      <c r="Y152" s="506"/>
      <c r="Z152" s="504"/>
      <c r="AA152" s="505"/>
      <c r="AB152" s="505"/>
      <c r="AC152" s="505"/>
      <c r="AD152" s="505"/>
      <c r="AE152" s="505"/>
      <c r="AF152" s="505"/>
      <c r="AG152" s="505"/>
      <c r="AH152" s="505"/>
      <c r="AI152" s="505"/>
      <c r="AJ152" s="505"/>
      <c r="AK152" s="506"/>
      <c r="AL152" s="504"/>
      <c r="AM152" s="505"/>
      <c r="AN152" s="505"/>
      <c r="AO152" s="505"/>
      <c r="AP152" s="505"/>
      <c r="AQ152" s="505"/>
      <c r="AR152" s="505"/>
      <c r="AS152" s="505"/>
      <c r="AT152" s="505"/>
      <c r="AU152" s="505"/>
      <c r="AV152" s="505"/>
      <c r="AW152" s="506"/>
    </row>
    <row r="153" spans="1:49" s="75" customFormat="1" ht="21" customHeight="1" thickBot="1" x14ac:dyDescent="0.3">
      <c r="A153" s="515"/>
      <c r="B153" s="490" t="str">
        <f>IF(ISBLANK(B151),"",CONCATENATE(LEFT(INDEX(B$19:B$49,MATCH(LEFT(B151,11)&amp;"*",B$19:B$49,0)+2),FIND("-",INDEX(B$19:B$49,MATCH(LEFT(B151,11)&amp;"*",B$19:B$49,0)+2))),$A151))</f>
        <v/>
      </c>
      <c r="C153" s="491"/>
      <c r="D153" s="492"/>
      <c r="E153" s="309"/>
      <c r="F153" s="203"/>
      <c r="G153" s="199"/>
      <c r="H153" s="201"/>
      <c r="I153" s="201"/>
      <c r="J153" s="200"/>
      <c r="K153" s="202"/>
      <c r="L153" s="202"/>
      <c r="M153" s="203"/>
      <c r="N153" s="490" t="str">
        <f>IF(ISBLANK(N151),"",CONCATENATE(LEFT(INDEX(N$19:N$49,MATCH(LEFT(N151,11)&amp;"*",N$19:N$49,0)+2),FIND("-",INDEX(N$19:N$49,MATCH(LEFT(N151,11)&amp;"*",N$19:N$49,0)+2))),$A151))</f>
        <v/>
      </c>
      <c r="O153" s="491"/>
      <c r="P153" s="492"/>
      <c r="Q153" s="309"/>
      <c r="R153" s="203"/>
      <c r="S153" s="199"/>
      <c r="T153" s="201"/>
      <c r="U153" s="201"/>
      <c r="V153" s="200"/>
      <c r="W153" s="202"/>
      <c r="X153" s="202"/>
      <c r="Y153" s="203"/>
      <c r="Z153" s="490" t="str">
        <f>IF(ISBLANK(Z151),"",CONCATENATE(LEFT(INDEX(Z$19:Z$49,MATCH(LEFT(Z151,11)&amp;"*",Z$19:Z$49,0)+2),FIND("-",INDEX(Z$19:Z$49,MATCH(LEFT(Z151,11)&amp;"*",Z$19:Z$49,0)+2))),$A151))</f>
        <v/>
      </c>
      <c r="AA153" s="491"/>
      <c r="AB153" s="492"/>
      <c r="AC153" s="309"/>
      <c r="AD153" s="203"/>
      <c r="AE153" s="199"/>
      <c r="AF153" s="201"/>
      <c r="AG153" s="201"/>
      <c r="AH153" s="200"/>
      <c r="AI153" s="202"/>
      <c r="AJ153" s="202"/>
      <c r="AK153" s="203"/>
      <c r="AL153" s="490" t="str">
        <f>IF(ISBLANK(AL151),"",CONCATENATE(LEFT(INDEX(AL$19:AL$49,MATCH(LEFT(AL151,11)&amp;"*",AL$19:AL$49,0)+2),FIND("-",INDEX(AL$19:AL$49,MATCH(LEFT(AL151,11)&amp;"*",AL$19:AL$49,0)+2))),$A151))</f>
        <v/>
      </c>
      <c r="AM153" s="491"/>
      <c r="AN153" s="492"/>
      <c r="AO153" s="309"/>
      <c r="AP153" s="203"/>
      <c r="AQ153" s="199"/>
      <c r="AR153" s="201"/>
      <c r="AS153" s="201"/>
      <c r="AT153" s="200"/>
      <c r="AU153" s="202"/>
      <c r="AV153" s="202"/>
      <c r="AW153" s="203"/>
    </row>
    <row r="154" spans="1:49" s="75" customFormat="1" ht="21" customHeight="1" thickTop="1" x14ac:dyDescent="0.25">
      <c r="A154" s="513" t="s">
        <v>83</v>
      </c>
      <c r="B154" s="501"/>
      <c r="C154" s="502"/>
      <c r="D154" s="502"/>
      <c r="E154" s="502"/>
      <c r="F154" s="502"/>
      <c r="G154" s="502"/>
      <c r="H154" s="502"/>
      <c r="I154" s="502"/>
      <c r="J154" s="502"/>
      <c r="K154" s="502"/>
      <c r="L154" s="502"/>
      <c r="M154" s="503"/>
      <c r="N154" s="501"/>
      <c r="O154" s="502"/>
      <c r="P154" s="502"/>
      <c r="Q154" s="502"/>
      <c r="R154" s="502"/>
      <c r="S154" s="502"/>
      <c r="T154" s="502"/>
      <c r="U154" s="502"/>
      <c r="V154" s="502"/>
      <c r="W154" s="502"/>
      <c r="X154" s="502"/>
      <c r="Y154" s="503"/>
      <c r="Z154" s="501"/>
      <c r="AA154" s="502"/>
      <c r="AB154" s="502"/>
      <c r="AC154" s="502"/>
      <c r="AD154" s="502"/>
      <c r="AE154" s="502"/>
      <c r="AF154" s="502"/>
      <c r="AG154" s="502"/>
      <c r="AH154" s="502"/>
      <c r="AI154" s="502"/>
      <c r="AJ154" s="502"/>
      <c r="AK154" s="503"/>
      <c r="AL154" s="501"/>
      <c r="AM154" s="502"/>
      <c r="AN154" s="502"/>
      <c r="AO154" s="502"/>
      <c r="AP154" s="502"/>
      <c r="AQ154" s="502"/>
      <c r="AR154" s="502"/>
      <c r="AS154" s="502"/>
      <c r="AT154" s="502"/>
      <c r="AU154" s="502"/>
      <c r="AV154" s="502"/>
      <c r="AW154" s="503"/>
    </row>
    <row r="155" spans="1:49" s="75" customFormat="1" ht="21" customHeight="1" x14ac:dyDescent="0.25">
      <c r="A155" s="514"/>
      <c r="B155" s="504"/>
      <c r="C155" s="505"/>
      <c r="D155" s="505"/>
      <c r="E155" s="505"/>
      <c r="F155" s="505"/>
      <c r="G155" s="505"/>
      <c r="H155" s="505"/>
      <c r="I155" s="505"/>
      <c r="J155" s="505"/>
      <c r="K155" s="505"/>
      <c r="L155" s="505"/>
      <c r="M155" s="506"/>
      <c r="N155" s="504"/>
      <c r="O155" s="505"/>
      <c r="P155" s="505"/>
      <c r="Q155" s="505"/>
      <c r="R155" s="505"/>
      <c r="S155" s="505"/>
      <c r="T155" s="505"/>
      <c r="U155" s="505"/>
      <c r="V155" s="505"/>
      <c r="W155" s="505"/>
      <c r="X155" s="505"/>
      <c r="Y155" s="506"/>
      <c r="Z155" s="504"/>
      <c r="AA155" s="505"/>
      <c r="AB155" s="505"/>
      <c r="AC155" s="505"/>
      <c r="AD155" s="505"/>
      <c r="AE155" s="505"/>
      <c r="AF155" s="505"/>
      <c r="AG155" s="505"/>
      <c r="AH155" s="505"/>
      <c r="AI155" s="505"/>
      <c r="AJ155" s="505"/>
      <c r="AK155" s="506"/>
      <c r="AL155" s="504"/>
      <c r="AM155" s="505"/>
      <c r="AN155" s="505"/>
      <c r="AO155" s="505"/>
      <c r="AP155" s="505"/>
      <c r="AQ155" s="505"/>
      <c r="AR155" s="505"/>
      <c r="AS155" s="505"/>
      <c r="AT155" s="505"/>
      <c r="AU155" s="505"/>
      <c r="AV155" s="505"/>
      <c r="AW155" s="506"/>
    </row>
    <row r="156" spans="1:49" s="75" customFormat="1" ht="21" customHeight="1" thickBot="1" x14ac:dyDescent="0.3">
      <c r="A156" s="515"/>
      <c r="B156" s="490" t="str">
        <f>IF(ISBLANK(B154),"",CONCATENATE(LEFT(INDEX(B$19:B$49,MATCH(LEFT(B154,11)&amp;"*",B$19:B$49,0)+2),FIND("-",INDEX(B$19:B$49,MATCH(LEFT(B154,11)&amp;"*",B$19:B$49,0)+2))),$A154))</f>
        <v/>
      </c>
      <c r="C156" s="491"/>
      <c r="D156" s="492"/>
      <c r="E156" s="193"/>
      <c r="F156" s="203"/>
      <c r="G156" s="195"/>
      <c r="H156" s="196"/>
      <c r="I156" s="196"/>
      <c r="J156" s="197"/>
      <c r="K156" s="198"/>
      <c r="L156" s="198"/>
      <c r="M156" s="198"/>
      <c r="N156" s="490" t="str">
        <f>IF(ISBLANK(N154),"",CONCATENATE(LEFT(INDEX(N$19:N$49,MATCH(LEFT(N154,11)&amp;"*",N$19:N$49,0)+2),FIND("-",INDEX(N$19:N$49,MATCH(LEFT(N154,11)&amp;"*",N$19:N$49,0)+2))),$A154))</f>
        <v/>
      </c>
      <c r="O156" s="491"/>
      <c r="P156" s="492"/>
      <c r="Q156" s="193"/>
      <c r="R156" s="203"/>
      <c r="S156" s="195"/>
      <c r="T156" s="196"/>
      <c r="U156" s="196"/>
      <c r="V156" s="197"/>
      <c r="W156" s="198"/>
      <c r="X156" s="194"/>
      <c r="Y156" s="198"/>
      <c r="Z156" s="490" t="str">
        <f>IF(ISBLANK(Z154),"",CONCATENATE(LEFT(INDEX(Z$19:Z$49,MATCH(LEFT(Z154,11)&amp;"*",Z$19:Z$49,0)+2),FIND("-",INDEX(Z$19:Z$49,MATCH(LEFT(Z154,11)&amp;"*",Z$19:Z$49,0)+2))),$A154))</f>
        <v/>
      </c>
      <c r="AA156" s="491"/>
      <c r="AB156" s="492"/>
      <c r="AC156" s="309"/>
      <c r="AD156" s="203"/>
      <c r="AE156" s="199"/>
      <c r="AF156" s="201"/>
      <c r="AG156" s="201"/>
      <c r="AH156" s="200"/>
      <c r="AI156" s="202"/>
      <c r="AJ156" s="202"/>
      <c r="AK156" s="203"/>
      <c r="AL156" s="490" t="str">
        <f>IF(ISBLANK(AL154),"",CONCATENATE(LEFT(INDEX(AL$19:AL$49,MATCH(LEFT(AL154,11)&amp;"*",AL$19:AL$49,0)+2),FIND("-",INDEX(AL$19:AL$49,MATCH(LEFT(AL154,11)&amp;"*",AL$19:AL$49,0)+2))),$A154))</f>
        <v/>
      </c>
      <c r="AM156" s="491"/>
      <c r="AN156" s="492"/>
      <c r="AO156" s="309"/>
      <c r="AP156" s="203"/>
      <c r="AQ156" s="204"/>
      <c r="AR156" s="201"/>
      <c r="AS156" s="201"/>
      <c r="AT156" s="200"/>
      <c r="AU156" s="202"/>
      <c r="AV156" s="202"/>
      <c r="AW156" s="203"/>
    </row>
    <row r="157" spans="1:49" s="75" customFormat="1" ht="21" customHeight="1" thickTop="1" x14ac:dyDescent="0.25">
      <c r="A157" s="513" t="s">
        <v>84</v>
      </c>
      <c r="B157" s="501"/>
      <c r="C157" s="502"/>
      <c r="D157" s="502"/>
      <c r="E157" s="502"/>
      <c r="F157" s="502"/>
      <c r="G157" s="502"/>
      <c r="H157" s="502"/>
      <c r="I157" s="502"/>
      <c r="J157" s="502"/>
      <c r="K157" s="502"/>
      <c r="L157" s="502"/>
      <c r="M157" s="503"/>
      <c r="N157" s="501"/>
      <c r="O157" s="502"/>
      <c r="P157" s="502"/>
      <c r="Q157" s="502"/>
      <c r="R157" s="502"/>
      <c r="S157" s="502"/>
      <c r="T157" s="502"/>
      <c r="U157" s="502"/>
      <c r="V157" s="502"/>
      <c r="W157" s="502"/>
      <c r="X157" s="502"/>
      <c r="Y157" s="503"/>
      <c r="Z157" s="501"/>
      <c r="AA157" s="502"/>
      <c r="AB157" s="502"/>
      <c r="AC157" s="502"/>
      <c r="AD157" s="502"/>
      <c r="AE157" s="502"/>
      <c r="AF157" s="502"/>
      <c r="AG157" s="502"/>
      <c r="AH157" s="502"/>
      <c r="AI157" s="502"/>
      <c r="AJ157" s="502"/>
      <c r="AK157" s="503"/>
      <c r="AL157" s="501"/>
      <c r="AM157" s="502"/>
      <c r="AN157" s="502"/>
      <c r="AO157" s="502"/>
      <c r="AP157" s="502"/>
      <c r="AQ157" s="502"/>
      <c r="AR157" s="502"/>
      <c r="AS157" s="502"/>
      <c r="AT157" s="502"/>
      <c r="AU157" s="502"/>
      <c r="AV157" s="502"/>
      <c r="AW157" s="503"/>
    </row>
    <row r="158" spans="1:49" s="75" customFormat="1" ht="21" customHeight="1" x14ac:dyDescent="0.25">
      <c r="A158" s="514"/>
      <c r="B158" s="504"/>
      <c r="C158" s="505"/>
      <c r="D158" s="505"/>
      <c r="E158" s="505"/>
      <c r="F158" s="505"/>
      <c r="G158" s="505"/>
      <c r="H158" s="505"/>
      <c r="I158" s="505"/>
      <c r="J158" s="505"/>
      <c r="K158" s="505"/>
      <c r="L158" s="505"/>
      <c r="M158" s="506"/>
      <c r="N158" s="504"/>
      <c r="O158" s="505"/>
      <c r="P158" s="505"/>
      <c r="Q158" s="505"/>
      <c r="R158" s="505"/>
      <c r="S158" s="505"/>
      <c r="T158" s="505"/>
      <c r="U158" s="505"/>
      <c r="V158" s="505"/>
      <c r="W158" s="505"/>
      <c r="X158" s="505"/>
      <c r="Y158" s="506"/>
      <c r="Z158" s="504"/>
      <c r="AA158" s="505"/>
      <c r="AB158" s="505"/>
      <c r="AC158" s="505"/>
      <c r="AD158" s="505"/>
      <c r="AE158" s="505"/>
      <c r="AF158" s="505"/>
      <c r="AG158" s="505"/>
      <c r="AH158" s="505"/>
      <c r="AI158" s="505"/>
      <c r="AJ158" s="505"/>
      <c r="AK158" s="506"/>
      <c r="AL158" s="504"/>
      <c r="AM158" s="505"/>
      <c r="AN158" s="505"/>
      <c r="AO158" s="505"/>
      <c r="AP158" s="505"/>
      <c r="AQ158" s="505"/>
      <c r="AR158" s="505"/>
      <c r="AS158" s="505"/>
      <c r="AT158" s="505"/>
      <c r="AU158" s="505"/>
      <c r="AV158" s="505"/>
      <c r="AW158" s="506"/>
    </row>
    <row r="159" spans="1:49" s="75" customFormat="1" ht="21" customHeight="1" thickBot="1" x14ac:dyDescent="0.3">
      <c r="A159" s="515"/>
      <c r="B159" s="490" t="str">
        <f>IF(ISBLANK(B157),"",CONCATENATE(LEFT(INDEX(B$19:B$49,MATCH(LEFT(B157,11)&amp;"*",B$19:B$49,0)+2),FIND("-",INDEX(B$19:B$49,MATCH(LEFT(B157,11)&amp;"*",B$19:B$49,0)+2))),$A157))</f>
        <v/>
      </c>
      <c r="C159" s="491"/>
      <c r="D159" s="492"/>
      <c r="E159" s="193"/>
      <c r="F159" s="203"/>
      <c r="G159" s="195"/>
      <c r="H159" s="196"/>
      <c r="I159" s="196"/>
      <c r="J159" s="197"/>
      <c r="K159" s="198"/>
      <c r="L159" s="198"/>
      <c r="M159" s="198"/>
      <c r="N159" s="490" t="str">
        <f>IF(ISBLANK(N157),"",CONCATENATE(LEFT(INDEX(N$19:N$49,MATCH(LEFT(N157,11)&amp;"*",N$19:N$49,0)+2),FIND("-",INDEX(N$19:N$49,MATCH(LEFT(N157,11)&amp;"*",N$19:N$49,0)+2))),$A157))</f>
        <v/>
      </c>
      <c r="O159" s="491"/>
      <c r="P159" s="492"/>
      <c r="Q159" s="193"/>
      <c r="R159" s="203"/>
      <c r="S159" s="195"/>
      <c r="T159" s="196"/>
      <c r="U159" s="196"/>
      <c r="V159" s="197"/>
      <c r="W159" s="198"/>
      <c r="X159" s="194"/>
      <c r="Y159" s="198"/>
      <c r="Z159" s="490" t="str">
        <f>IF(ISBLANK(Z157),"",CONCATENATE(LEFT(INDEX(Z$19:Z$49,MATCH(LEFT(Z157,11)&amp;"*",Z$19:Z$49,0)+2),FIND("-",INDEX(Z$19:Z$49,MATCH(LEFT(Z157,11)&amp;"*",Z$19:Z$49,0)+2))),$A157))</f>
        <v/>
      </c>
      <c r="AA159" s="491"/>
      <c r="AB159" s="492"/>
      <c r="AC159" s="309"/>
      <c r="AD159" s="203"/>
      <c r="AE159" s="199"/>
      <c r="AF159" s="201"/>
      <c r="AG159" s="201"/>
      <c r="AH159" s="200"/>
      <c r="AI159" s="202"/>
      <c r="AJ159" s="202"/>
      <c r="AK159" s="203"/>
      <c r="AL159" s="490" t="str">
        <f>IF(ISBLANK(AL157),"",CONCATENATE(LEFT(INDEX(AL$19:AL$49,MATCH(LEFT(AL157,11)&amp;"*",AL$19:AL$49,0)+2),FIND("-",INDEX(AL$19:AL$49,MATCH(LEFT(AL157,11)&amp;"*",AL$19:AL$49,0)+2))),$A157))</f>
        <v/>
      </c>
      <c r="AM159" s="491"/>
      <c r="AN159" s="492"/>
      <c r="AO159" s="309"/>
      <c r="AP159" s="203"/>
      <c r="AQ159" s="204"/>
      <c r="AR159" s="201"/>
      <c r="AS159" s="201"/>
      <c r="AT159" s="200"/>
      <c r="AU159" s="202"/>
      <c r="AV159" s="202"/>
      <c r="AW159" s="203"/>
    </row>
    <row r="160" spans="1:49" s="75" customFormat="1" ht="21" customHeight="1" thickTop="1" x14ac:dyDescent="0.25">
      <c r="A160" s="513" t="s">
        <v>85</v>
      </c>
      <c r="B160" s="501"/>
      <c r="C160" s="502"/>
      <c r="D160" s="502"/>
      <c r="E160" s="502"/>
      <c r="F160" s="502"/>
      <c r="G160" s="502"/>
      <c r="H160" s="502"/>
      <c r="I160" s="502"/>
      <c r="J160" s="502"/>
      <c r="K160" s="502"/>
      <c r="L160" s="502"/>
      <c r="M160" s="503"/>
      <c r="N160" s="501"/>
      <c r="O160" s="502"/>
      <c r="P160" s="502"/>
      <c r="Q160" s="502"/>
      <c r="R160" s="502"/>
      <c r="S160" s="502"/>
      <c r="T160" s="502"/>
      <c r="U160" s="502"/>
      <c r="V160" s="502"/>
      <c r="W160" s="502"/>
      <c r="X160" s="502"/>
      <c r="Y160" s="503"/>
      <c r="Z160" s="501"/>
      <c r="AA160" s="502"/>
      <c r="AB160" s="502"/>
      <c r="AC160" s="502"/>
      <c r="AD160" s="502"/>
      <c r="AE160" s="502"/>
      <c r="AF160" s="502"/>
      <c r="AG160" s="502"/>
      <c r="AH160" s="502"/>
      <c r="AI160" s="502"/>
      <c r="AJ160" s="502"/>
      <c r="AK160" s="503"/>
      <c r="AL160" s="501"/>
      <c r="AM160" s="502"/>
      <c r="AN160" s="502"/>
      <c r="AO160" s="502"/>
      <c r="AP160" s="502"/>
      <c r="AQ160" s="502"/>
      <c r="AR160" s="502"/>
      <c r="AS160" s="502"/>
      <c r="AT160" s="502"/>
      <c r="AU160" s="502"/>
      <c r="AV160" s="502"/>
      <c r="AW160" s="503"/>
    </row>
    <row r="161" spans="1:49" s="75" customFormat="1" ht="21" customHeight="1" x14ac:dyDescent="0.25">
      <c r="A161" s="514"/>
      <c r="B161" s="504"/>
      <c r="C161" s="505"/>
      <c r="D161" s="505"/>
      <c r="E161" s="505"/>
      <c r="F161" s="505"/>
      <c r="G161" s="505"/>
      <c r="H161" s="505"/>
      <c r="I161" s="505"/>
      <c r="J161" s="505"/>
      <c r="K161" s="505"/>
      <c r="L161" s="505"/>
      <c r="M161" s="506"/>
      <c r="N161" s="504"/>
      <c r="O161" s="505"/>
      <c r="P161" s="505"/>
      <c r="Q161" s="505"/>
      <c r="R161" s="505"/>
      <c r="S161" s="505"/>
      <c r="T161" s="505"/>
      <c r="U161" s="505"/>
      <c r="V161" s="505"/>
      <c r="W161" s="505"/>
      <c r="X161" s="505"/>
      <c r="Y161" s="506"/>
      <c r="Z161" s="504"/>
      <c r="AA161" s="505"/>
      <c r="AB161" s="505"/>
      <c r="AC161" s="505"/>
      <c r="AD161" s="505"/>
      <c r="AE161" s="505"/>
      <c r="AF161" s="505"/>
      <c r="AG161" s="505"/>
      <c r="AH161" s="505"/>
      <c r="AI161" s="505"/>
      <c r="AJ161" s="505"/>
      <c r="AK161" s="506"/>
      <c r="AL161" s="504"/>
      <c r="AM161" s="505"/>
      <c r="AN161" s="505"/>
      <c r="AO161" s="505"/>
      <c r="AP161" s="505"/>
      <c r="AQ161" s="505"/>
      <c r="AR161" s="505"/>
      <c r="AS161" s="505"/>
      <c r="AT161" s="505"/>
      <c r="AU161" s="505"/>
      <c r="AV161" s="505"/>
      <c r="AW161" s="506"/>
    </row>
    <row r="162" spans="1:49" s="75" customFormat="1" ht="21" customHeight="1" thickBot="1" x14ac:dyDescent="0.3">
      <c r="A162" s="515"/>
      <c r="B162" s="490" t="str">
        <f>IF(ISBLANK(B160),"",CONCATENATE(LEFT(INDEX(B$19:B$49,MATCH(LEFT(B160,11)&amp;"*",B$19:B$49,0)+2),FIND("-",INDEX(B$19:B$49,MATCH(LEFT(B160,11)&amp;"*",B$19:B$49,0)+2))),$A160))</f>
        <v/>
      </c>
      <c r="C162" s="491"/>
      <c r="D162" s="492"/>
      <c r="E162" s="193"/>
      <c r="F162" s="203"/>
      <c r="G162" s="195"/>
      <c r="H162" s="196"/>
      <c r="I162" s="196"/>
      <c r="J162" s="197"/>
      <c r="K162" s="198"/>
      <c r="L162" s="198"/>
      <c r="M162" s="198"/>
      <c r="N162" s="490" t="str">
        <f>IF(ISBLANK(N160),"",CONCATENATE(LEFT(INDEX(N$19:N$49,MATCH(LEFT(N160,11)&amp;"*",N$19:N$49,0)+2),FIND("-",INDEX(N$19:N$49,MATCH(LEFT(N160,11)&amp;"*",N$19:N$49,0)+2))),$A160))</f>
        <v/>
      </c>
      <c r="O162" s="491"/>
      <c r="P162" s="492"/>
      <c r="Q162" s="193"/>
      <c r="R162" s="203"/>
      <c r="S162" s="195"/>
      <c r="T162" s="196"/>
      <c r="U162" s="196"/>
      <c r="V162" s="197"/>
      <c r="W162" s="198"/>
      <c r="X162" s="194"/>
      <c r="Y162" s="198"/>
      <c r="Z162" s="490" t="str">
        <f>IF(ISBLANK(Z160),"",CONCATENATE(LEFT(INDEX(Z$19:Z$49,MATCH(LEFT(Z160,11)&amp;"*",Z$19:Z$49,0)+2),FIND("-",INDEX(Z$19:Z$49,MATCH(LEFT(Z160,11)&amp;"*",Z$19:Z$49,0)+2))),$A160))</f>
        <v/>
      </c>
      <c r="AA162" s="491"/>
      <c r="AB162" s="492"/>
      <c r="AC162" s="309"/>
      <c r="AD162" s="203"/>
      <c r="AE162" s="199"/>
      <c r="AF162" s="201"/>
      <c r="AG162" s="201"/>
      <c r="AH162" s="200"/>
      <c r="AI162" s="202"/>
      <c r="AJ162" s="202"/>
      <c r="AK162" s="203"/>
      <c r="AL162" s="490" t="str">
        <f>IF(ISBLANK(AL160),"",CONCATENATE(LEFT(INDEX(AL$19:AL$49,MATCH(LEFT(AL160,11)&amp;"*",AL$19:AL$49,0)+2),FIND("-",INDEX(AL$19:AL$49,MATCH(LEFT(AL160,11)&amp;"*",AL$19:AL$49,0)+2))),$A160))</f>
        <v/>
      </c>
      <c r="AM162" s="491"/>
      <c r="AN162" s="492"/>
      <c r="AO162" s="309"/>
      <c r="AP162" s="203"/>
      <c r="AQ162" s="204"/>
      <c r="AR162" s="201"/>
      <c r="AS162" s="201"/>
      <c r="AT162" s="200"/>
      <c r="AU162" s="202"/>
      <c r="AV162" s="202"/>
      <c r="AW162" s="203"/>
    </row>
    <row r="163" spans="1:49" s="75" customFormat="1" ht="21" customHeight="1" thickTop="1" x14ac:dyDescent="0.25">
      <c r="A163" s="513" t="s">
        <v>86</v>
      </c>
      <c r="B163" s="501"/>
      <c r="C163" s="502"/>
      <c r="D163" s="502"/>
      <c r="E163" s="502"/>
      <c r="F163" s="502"/>
      <c r="G163" s="502"/>
      <c r="H163" s="502"/>
      <c r="I163" s="502"/>
      <c r="J163" s="502"/>
      <c r="K163" s="502"/>
      <c r="L163" s="502"/>
      <c r="M163" s="503"/>
      <c r="N163" s="501"/>
      <c r="O163" s="502"/>
      <c r="P163" s="502"/>
      <c r="Q163" s="502"/>
      <c r="R163" s="502"/>
      <c r="S163" s="502"/>
      <c r="T163" s="502"/>
      <c r="U163" s="502"/>
      <c r="V163" s="502"/>
      <c r="W163" s="502"/>
      <c r="X163" s="502"/>
      <c r="Y163" s="503"/>
      <c r="Z163" s="501"/>
      <c r="AA163" s="502"/>
      <c r="AB163" s="502"/>
      <c r="AC163" s="502"/>
      <c r="AD163" s="502"/>
      <c r="AE163" s="502"/>
      <c r="AF163" s="502"/>
      <c r="AG163" s="502"/>
      <c r="AH163" s="502"/>
      <c r="AI163" s="502"/>
      <c r="AJ163" s="502"/>
      <c r="AK163" s="503"/>
      <c r="AL163" s="501"/>
      <c r="AM163" s="502"/>
      <c r="AN163" s="502"/>
      <c r="AO163" s="502"/>
      <c r="AP163" s="502"/>
      <c r="AQ163" s="502"/>
      <c r="AR163" s="502"/>
      <c r="AS163" s="502"/>
      <c r="AT163" s="502"/>
      <c r="AU163" s="502"/>
      <c r="AV163" s="502"/>
      <c r="AW163" s="503"/>
    </row>
    <row r="164" spans="1:49" s="75" customFormat="1" ht="21" customHeight="1" x14ac:dyDescent="0.25">
      <c r="A164" s="514"/>
      <c r="B164" s="504"/>
      <c r="C164" s="505"/>
      <c r="D164" s="505"/>
      <c r="E164" s="505"/>
      <c r="F164" s="505"/>
      <c r="G164" s="505"/>
      <c r="H164" s="505"/>
      <c r="I164" s="505"/>
      <c r="J164" s="505"/>
      <c r="K164" s="505"/>
      <c r="L164" s="505"/>
      <c r="M164" s="506"/>
      <c r="N164" s="504"/>
      <c r="O164" s="505"/>
      <c r="P164" s="505"/>
      <c r="Q164" s="505"/>
      <c r="R164" s="505"/>
      <c r="S164" s="505"/>
      <c r="T164" s="505"/>
      <c r="U164" s="505"/>
      <c r="V164" s="505"/>
      <c r="W164" s="505"/>
      <c r="X164" s="505"/>
      <c r="Y164" s="506"/>
      <c r="Z164" s="504"/>
      <c r="AA164" s="505"/>
      <c r="AB164" s="505"/>
      <c r="AC164" s="505"/>
      <c r="AD164" s="505"/>
      <c r="AE164" s="505"/>
      <c r="AF164" s="505"/>
      <c r="AG164" s="505"/>
      <c r="AH164" s="505"/>
      <c r="AI164" s="505"/>
      <c r="AJ164" s="505"/>
      <c r="AK164" s="506"/>
      <c r="AL164" s="504"/>
      <c r="AM164" s="505"/>
      <c r="AN164" s="505"/>
      <c r="AO164" s="505"/>
      <c r="AP164" s="505"/>
      <c r="AQ164" s="505"/>
      <c r="AR164" s="505"/>
      <c r="AS164" s="505"/>
      <c r="AT164" s="505"/>
      <c r="AU164" s="505"/>
      <c r="AV164" s="505"/>
      <c r="AW164" s="506"/>
    </row>
    <row r="165" spans="1:49" s="75" customFormat="1" ht="21" customHeight="1" thickBot="1" x14ac:dyDescent="0.3">
      <c r="A165" s="515"/>
      <c r="B165" s="490" t="str">
        <f>IF(ISBLANK(B163),"",CONCATENATE(LEFT(INDEX(B$19:B$49,MATCH(LEFT(B163,11)&amp;"*",B$19:B$49,0)+2),FIND("-",INDEX(B$19:B$49,MATCH(LEFT(B163,11)&amp;"*",B$19:B$49,0)+2))),$A163))</f>
        <v/>
      </c>
      <c r="C165" s="491"/>
      <c r="D165" s="492"/>
      <c r="E165" s="193"/>
      <c r="F165" s="203"/>
      <c r="G165" s="195"/>
      <c r="H165" s="196"/>
      <c r="I165" s="196"/>
      <c r="J165" s="197"/>
      <c r="K165" s="198"/>
      <c r="L165" s="198"/>
      <c r="M165" s="198"/>
      <c r="N165" s="490" t="str">
        <f>IF(ISBLANK(N163),"",CONCATENATE(LEFT(INDEX(N$19:N$49,MATCH(LEFT(N163,11)&amp;"*",N$19:N$49,0)+2),FIND("-",INDEX(N$19:N$49,MATCH(LEFT(N163,11)&amp;"*",N$19:N$49,0)+2))),$A163))</f>
        <v/>
      </c>
      <c r="O165" s="491"/>
      <c r="P165" s="492"/>
      <c r="Q165" s="193"/>
      <c r="R165" s="203"/>
      <c r="S165" s="195"/>
      <c r="T165" s="196"/>
      <c r="U165" s="196"/>
      <c r="V165" s="197"/>
      <c r="W165" s="198"/>
      <c r="X165" s="194"/>
      <c r="Y165" s="198"/>
      <c r="Z165" s="490" t="str">
        <f>IF(ISBLANK(Z163),"",CONCATENATE(LEFT(INDEX(Z$19:Z$49,MATCH(LEFT(Z163,11)&amp;"*",Z$19:Z$49,0)+2),FIND("-",INDEX(Z$19:Z$49,MATCH(LEFT(Z163,11)&amp;"*",Z$19:Z$49,0)+2))),$A163))</f>
        <v/>
      </c>
      <c r="AA165" s="491"/>
      <c r="AB165" s="492"/>
      <c r="AC165" s="309"/>
      <c r="AD165" s="203"/>
      <c r="AE165" s="199"/>
      <c r="AF165" s="201"/>
      <c r="AG165" s="201"/>
      <c r="AH165" s="200"/>
      <c r="AI165" s="202"/>
      <c r="AJ165" s="202"/>
      <c r="AK165" s="203"/>
      <c r="AL165" s="490" t="str">
        <f>IF(ISBLANK(AL163),"",CONCATENATE(LEFT(INDEX(AL$19:AL$49,MATCH(LEFT(AL163,11)&amp;"*",AL$19:AL$49,0)+2),FIND("-",INDEX(AL$19:AL$49,MATCH(LEFT(AL163,11)&amp;"*",AL$19:AL$49,0)+2))),$A163))</f>
        <v/>
      </c>
      <c r="AM165" s="491"/>
      <c r="AN165" s="492"/>
      <c r="AO165" s="309"/>
      <c r="AP165" s="203"/>
      <c r="AQ165" s="204"/>
      <c r="AR165" s="201"/>
      <c r="AS165" s="201"/>
      <c r="AT165" s="200"/>
      <c r="AU165" s="202"/>
      <c r="AV165" s="202"/>
      <c r="AW165" s="203"/>
    </row>
    <row r="166" spans="1:49" s="75" customFormat="1" ht="21" customHeight="1" thickTop="1" x14ac:dyDescent="0.25">
      <c r="A166" s="513" t="s">
        <v>87</v>
      </c>
      <c r="B166" s="501"/>
      <c r="C166" s="502"/>
      <c r="D166" s="502"/>
      <c r="E166" s="502"/>
      <c r="F166" s="502"/>
      <c r="G166" s="502"/>
      <c r="H166" s="502"/>
      <c r="I166" s="502"/>
      <c r="J166" s="502"/>
      <c r="K166" s="502"/>
      <c r="L166" s="502"/>
      <c r="M166" s="503"/>
      <c r="N166" s="501"/>
      <c r="O166" s="502"/>
      <c r="P166" s="502"/>
      <c r="Q166" s="502"/>
      <c r="R166" s="502"/>
      <c r="S166" s="502"/>
      <c r="T166" s="502"/>
      <c r="U166" s="502"/>
      <c r="V166" s="502"/>
      <c r="W166" s="502"/>
      <c r="X166" s="502"/>
      <c r="Y166" s="503"/>
      <c r="Z166" s="501"/>
      <c r="AA166" s="502"/>
      <c r="AB166" s="502"/>
      <c r="AC166" s="502"/>
      <c r="AD166" s="502"/>
      <c r="AE166" s="502"/>
      <c r="AF166" s="502"/>
      <c r="AG166" s="502"/>
      <c r="AH166" s="502"/>
      <c r="AI166" s="502"/>
      <c r="AJ166" s="502"/>
      <c r="AK166" s="503"/>
      <c r="AL166" s="501"/>
      <c r="AM166" s="502"/>
      <c r="AN166" s="502"/>
      <c r="AO166" s="502"/>
      <c r="AP166" s="502"/>
      <c r="AQ166" s="502"/>
      <c r="AR166" s="502"/>
      <c r="AS166" s="502"/>
      <c r="AT166" s="502"/>
      <c r="AU166" s="502"/>
      <c r="AV166" s="502"/>
      <c r="AW166" s="503"/>
    </row>
    <row r="167" spans="1:49" s="75" customFormat="1" ht="21" customHeight="1" x14ac:dyDescent="0.25">
      <c r="A167" s="514"/>
      <c r="B167" s="504"/>
      <c r="C167" s="505"/>
      <c r="D167" s="505"/>
      <c r="E167" s="505"/>
      <c r="F167" s="505"/>
      <c r="G167" s="505"/>
      <c r="H167" s="505"/>
      <c r="I167" s="505"/>
      <c r="J167" s="505"/>
      <c r="K167" s="505"/>
      <c r="L167" s="505"/>
      <c r="M167" s="506"/>
      <c r="N167" s="504"/>
      <c r="O167" s="505"/>
      <c r="P167" s="505"/>
      <c r="Q167" s="505"/>
      <c r="R167" s="505"/>
      <c r="S167" s="505"/>
      <c r="T167" s="505"/>
      <c r="U167" s="505"/>
      <c r="V167" s="505"/>
      <c r="W167" s="505"/>
      <c r="X167" s="505"/>
      <c r="Y167" s="506"/>
      <c r="Z167" s="504"/>
      <c r="AA167" s="505"/>
      <c r="AB167" s="505"/>
      <c r="AC167" s="505"/>
      <c r="AD167" s="505"/>
      <c r="AE167" s="505"/>
      <c r="AF167" s="505"/>
      <c r="AG167" s="505"/>
      <c r="AH167" s="505"/>
      <c r="AI167" s="505"/>
      <c r="AJ167" s="505"/>
      <c r="AK167" s="506"/>
      <c r="AL167" s="504"/>
      <c r="AM167" s="505"/>
      <c r="AN167" s="505"/>
      <c r="AO167" s="505"/>
      <c r="AP167" s="505"/>
      <c r="AQ167" s="505"/>
      <c r="AR167" s="505"/>
      <c r="AS167" s="505"/>
      <c r="AT167" s="505"/>
      <c r="AU167" s="505"/>
      <c r="AV167" s="505"/>
      <c r="AW167" s="506"/>
    </row>
    <row r="168" spans="1:49" s="75" customFormat="1" ht="21" customHeight="1" thickBot="1" x14ac:dyDescent="0.3">
      <c r="A168" s="515"/>
      <c r="B168" s="490" t="str">
        <f>IF(ISBLANK(B166),"",CONCATENATE(LEFT(INDEX(B$19:B$49,MATCH(LEFT(B166,11)&amp;"*",B$19:B$49,0)+2),FIND("-",INDEX(B$19:B$49,MATCH(LEFT(B166,11)&amp;"*",B$19:B$49,0)+2))),$A166))</f>
        <v/>
      </c>
      <c r="C168" s="491"/>
      <c r="D168" s="492"/>
      <c r="E168" s="193"/>
      <c r="F168" s="203"/>
      <c r="G168" s="195"/>
      <c r="H168" s="196"/>
      <c r="I168" s="196"/>
      <c r="J168" s="197"/>
      <c r="K168" s="198"/>
      <c r="L168" s="198"/>
      <c r="M168" s="198"/>
      <c r="N168" s="490" t="str">
        <f>IF(ISBLANK(N166),"",CONCATENATE(LEFT(INDEX(N$19:N$49,MATCH(LEFT(N166,11)&amp;"*",N$19:N$49,0)+2),FIND("-",INDEX(N$19:N$49,MATCH(LEFT(N166,11)&amp;"*",N$19:N$49,0)+2))),$A166))</f>
        <v/>
      </c>
      <c r="O168" s="491"/>
      <c r="P168" s="492"/>
      <c r="Q168" s="193"/>
      <c r="R168" s="203"/>
      <c r="S168" s="195"/>
      <c r="T168" s="196"/>
      <c r="U168" s="196"/>
      <c r="V168" s="197"/>
      <c r="W168" s="198"/>
      <c r="X168" s="194"/>
      <c r="Y168" s="198"/>
      <c r="Z168" s="490" t="str">
        <f>IF(ISBLANK(Z166),"",CONCATENATE(LEFT(INDEX(Z$19:Z$49,MATCH(LEFT(Z166,11)&amp;"*",Z$19:Z$49,0)+2),FIND("-",INDEX(Z$19:Z$49,MATCH(LEFT(Z166,11)&amp;"*",Z$19:Z$49,0)+2))),$A166))</f>
        <v/>
      </c>
      <c r="AA168" s="491"/>
      <c r="AB168" s="492"/>
      <c r="AC168" s="309"/>
      <c r="AD168" s="203"/>
      <c r="AE168" s="199"/>
      <c r="AF168" s="201"/>
      <c r="AG168" s="201"/>
      <c r="AH168" s="200"/>
      <c r="AI168" s="202"/>
      <c r="AJ168" s="202"/>
      <c r="AK168" s="213"/>
      <c r="AL168" s="490" t="str">
        <f>IF(ISBLANK(AL166),"",CONCATENATE(LEFT(INDEX(AL$19:AL$49,MATCH(LEFT(AL166,11)&amp;"*",AL$19:AL$49,0)+2),FIND("-",INDEX(AL$19:AL$49,MATCH(LEFT(AL166,11)&amp;"*",AL$19:AL$49,0)+2))),$A166))</f>
        <v/>
      </c>
      <c r="AM168" s="491"/>
      <c r="AN168" s="492"/>
      <c r="AO168" s="193"/>
      <c r="AP168" s="203"/>
      <c r="AQ168" s="195"/>
      <c r="AR168" s="196"/>
      <c r="AS168" s="196"/>
      <c r="AT168" s="197"/>
      <c r="AU168" s="198"/>
      <c r="AV168" s="194"/>
      <c r="AW168" s="198"/>
    </row>
    <row r="169" spans="1:49" s="75" customFormat="1" ht="21" customHeight="1" thickTop="1" x14ac:dyDescent="0.25">
      <c r="A169" s="513" t="s">
        <v>64</v>
      </c>
      <c r="B169" s="501"/>
      <c r="C169" s="502"/>
      <c r="D169" s="502"/>
      <c r="E169" s="502"/>
      <c r="F169" s="502"/>
      <c r="G169" s="502"/>
      <c r="H169" s="502"/>
      <c r="I169" s="502"/>
      <c r="J169" s="502"/>
      <c r="K169" s="502"/>
      <c r="L169" s="502"/>
      <c r="M169" s="503"/>
      <c r="N169" s="501"/>
      <c r="O169" s="502"/>
      <c r="P169" s="502"/>
      <c r="Q169" s="502"/>
      <c r="R169" s="502"/>
      <c r="S169" s="502"/>
      <c r="T169" s="502"/>
      <c r="U169" s="502"/>
      <c r="V169" s="502"/>
      <c r="W169" s="502"/>
      <c r="X169" s="502"/>
      <c r="Y169" s="503"/>
      <c r="Z169" s="501"/>
      <c r="AA169" s="502"/>
      <c r="AB169" s="502"/>
      <c r="AC169" s="502"/>
      <c r="AD169" s="502"/>
      <c r="AE169" s="502"/>
      <c r="AF169" s="502"/>
      <c r="AG169" s="502"/>
      <c r="AH169" s="502"/>
      <c r="AI169" s="502"/>
      <c r="AJ169" s="502"/>
      <c r="AK169" s="503"/>
      <c r="AL169" s="501"/>
      <c r="AM169" s="502"/>
      <c r="AN169" s="502"/>
      <c r="AO169" s="502"/>
      <c r="AP169" s="502"/>
      <c r="AQ169" s="502"/>
      <c r="AR169" s="502"/>
      <c r="AS169" s="502"/>
      <c r="AT169" s="502"/>
      <c r="AU169" s="502"/>
      <c r="AV169" s="502"/>
      <c r="AW169" s="503"/>
    </row>
    <row r="170" spans="1:49" s="75" customFormat="1" ht="21" customHeight="1" x14ac:dyDescent="0.25">
      <c r="A170" s="514"/>
      <c r="B170" s="504"/>
      <c r="C170" s="505"/>
      <c r="D170" s="505"/>
      <c r="E170" s="505"/>
      <c r="F170" s="505"/>
      <c r="G170" s="505"/>
      <c r="H170" s="505"/>
      <c r="I170" s="505"/>
      <c r="J170" s="505"/>
      <c r="K170" s="505"/>
      <c r="L170" s="505"/>
      <c r="M170" s="506"/>
      <c r="N170" s="504"/>
      <c r="O170" s="505"/>
      <c r="P170" s="505"/>
      <c r="Q170" s="505"/>
      <c r="R170" s="505"/>
      <c r="S170" s="505"/>
      <c r="T170" s="505"/>
      <c r="U170" s="505"/>
      <c r="V170" s="505"/>
      <c r="W170" s="505"/>
      <c r="X170" s="505"/>
      <c r="Y170" s="506"/>
      <c r="Z170" s="504"/>
      <c r="AA170" s="505"/>
      <c r="AB170" s="505"/>
      <c r="AC170" s="505"/>
      <c r="AD170" s="505"/>
      <c r="AE170" s="505"/>
      <c r="AF170" s="505"/>
      <c r="AG170" s="505"/>
      <c r="AH170" s="505"/>
      <c r="AI170" s="505"/>
      <c r="AJ170" s="505"/>
      <c r="AK170" s="506"/>
      <c r="AL170" s="504"/>
      <c r="AM170" s="505"/>
      <c r="AN170" s="505"/>
      <c r="AO170" s="505"/>
      <c r="AP170" s="505"/>
      <c r="AQ170" s="505"/>
      <c r="AR170" s="505"/>
      <c r="AS170" s="505"/>
      <c r="AT170" s="505"/>
      <c r="AU170" s="505"/>
      <c r="AV170" s="505"/>
      <c r="AW170" s="506"/>
    </row>
    <row r="171" spans="1:49" s="75" customFormat="1" ht="21" customHeight="1" thickBot="1" x14ac:dyDescent="0.3">
      <c r="A171" s="515"/>
      <c r="B171" s="490" t="str">
        <f>IF(ISBLANK(B169),"",CONCATENATE(LEFT(INDEX(B$19:B$49,MATCH(LEFT(B169,11)&amp;"*",B$19:B$49,0)+2),FIND("-",INDEX(B$19:B$49,MATCH(LEFT(B169,11)&amp;"*",B$19:B$49,0)+2))),$A169))</f>
        <v/>
      </c>
      <c r="C171" s="491"/>
      <c r="D171" s="492"/>
      <c r="E171" s="193"/>
      <c r="F171" s="203"/>
      <c r="G171" s="195"/>
      <c r="H171" s="196"/>
      <c r="I171" s="196"/>
      <c r="J171" s="197"/>
      <c r="K171" s="198"/>
      <c r="L171" s="198"/>
      <c r="M171" s="198"/>
      <c r="N171" s="490" t="str">
        <f>IF(ISBLANK(N169),"",CONCATENATE(LEFT(INDEX(N$19:N$49,MATCH(LEFT(N169,11)&amp;"*",N$19:N$49,0)+2),FIND("-",INDEX(N$19:N$49,MATCH(LEFT(N169,11)&amp;"*",N$19:N$49,0)+2))),$A169))</f>
        <v/>
      </c>
      <c r="O171" s="491"/>
      <c r="P171" s="492"/>
      <c r="Q171" s="193"/>
      <c r="R171" s="203"/>
      <c r="S171" s="195"/>
      <c r="T171" s="196"/>
      <c r="U171" s="196"/>
      <c r="V171" s="197"/>
      <c r="W171" s="198"/>
      <c r="X171" s="194"/>
      <c r="Y171" s="198"/>
      <c r="Z171" s="490" t="str">
        <f>IF(ISBLANK(Z169),"",CONCATENATE(LEFT(INDEX(Z$19:Z$49,MATCH(LEFT(Z169,11)&amp;"*",Z$19:Z$49,0)+2),FIND("-",INDEX(Z$19:Z$49,MATCH(LEFT(Z169,11)&amp;"*",Z$19:Z$49,0)+2))),$A169))</f>
        <v/>
      </c>
      <c r="AA171" s="491"/>
      <c r="AB171" s="492"/>
      <c r="AC171" s="309"/>
      <c r="AD171" s="203"/>
      <c r="AE171" s="199"/>
      <c r="AF171" s="201"/>
      <c r="AG171" s="201"/>
      <c r="AH171" s="200"/>
      <c r="AI171" s="202"/>
      <c r="AJ171" s="202"/>
      <c r="AK171" s="213"/>
      <c r="AL171" s="490" t="str">
        <f>IF(ISBLANK(AL169),"",CONCATENATE(LEFT(INDEX(AL$19:AL$49,MATCH(LEFT(AL169,11)&amp;"*",AL$19:AL$49,0)+2),FIND("-",INDEX(AL$19:AL$49,MATCH(LEFT(AL169,11)&amp;"*",AL$19:AL$49,0)+2))),$A169))</f>
        <v/>
      </c>
      <c r="AM171" s="491"/>
      <c r="AN171" s="492"/>
      <c r="AO171" s="193"/>
      <c r="AP171" s="203"/>
      <c r="AQ171" s="195"/>
      <c r="AR171" s="196"/>
      <c r="AS171" s="196"/>
      <c r="AT171" s="197"/>
      <c r="AU171" s="198"/>
      <c r="AV171" s="194"/>
      <c r="AW171" s="198"/>
    </row>
    <row r="172" spans="1:49" s="75" customFormat="1" ht="21" customHeight="1" thickTop="1" x14ac:dyDescent="0.25">
      <c r="A172" s="513" t="s">
        <v>65</v>
      </c>
      <c r="B172" s="501"/>
      <c r="C172" s="502"/>
      <c r="D172" s="502"/>
      <c r="E172" s="502"/>
      <c r="F172" s="502"/>
      <c r="G172" s="502"/>
      <c r="H172" s="502"/>
      <c r="I172" s="502"/>
      <c r="J172" s="502"/>
      <c r="K172" s="502"/>
      <c r="L172" s="502"/>
      <c r="M172" s="503"/>
      <c r="N172" s="501"/>
      <c r="O172" s="502"/>
      <c r="P172" s="502"/>
      <c r="Q172" s="502"/>
      <c r="R172" s="502"/>
      <c r="S172" s="502"/>
      <c r="T172" s="502"/>
      <c r="U172" s="502"/>
      <c r="V172" s="502"/>
      <c r="W172" s="502"/>
      <c r="X172" s="502"/>
      <c r="Y172" s="503"/>
      <c r="Z172" s="501"/>
      <c r="AA172" s="502"/>
      <c r="AB172" s="502"/>
      <c r="AC172" s="502"/>
      <c r="AD172" s="502"/>
      <c r="AE172" s="502"/>
      <c r="AF172" s="502"/>
      <c r="AG172" s="502"/>
      <c r="AH172" s="502"/>
      <c r="AI172" s="502"/>
      <c r="AJ172" s="502"/>
      <c r="AK172" s="503"/>
      <c r="AL172" s="501"/>
      <c r="AM172" s="502"/>
      <c r="AN172" s="502"/>
      <c r="AO172" s="502"/>
      <c r="AP172" s="502"/>
      <c r="AQ172" s="502"/>
      <c r="AR172" s="502"/>
      <c r="AS172" s="502"/>
      <c r="AT172" s="502"/>
      <c r="AU172" s="502"/>
      <c r="AV172" s="502"/>
      <c r="AW172" s="503"/>
    </row>
    <row r="173" spans="1:49" s="75" customFormat="1" ht="21" customHeight="1" x14ac:dyDescent="0.25">
      <c r="A173" s="514"/>
      <c r="B173" s="504"/>
      <c r="C173" s="505"/>
      <c r="D173" s="505"/>
      <c r="E173" s="505"/>
      <c r="F173" s="505"/>
      <c r="G173" s="505"/>
      <c r="H173" s="505"/>
      <c r="I173" s="505"/>
      <c r="J173" s="505"/>
      <c r="K173" s="505"/>
      <c r="L173" s="505"/>
      <c r="M173" s="506"/>
      <c r="N173" s="504"/>
      <c r="O173" s="505"/>
      <c r="P173" s="505"/>
      <c r="Q173" s="505"/>
      <c r="R173" s="505"/>
      <c r="S173" s="505"/>
      <c r="T173" s="505"/>
      <c r="U173" s="505"/>
      <c r="V173" s="505"/>
      <c r="W173" s="505"/>
      <c r="X173" s="505"/>
      <c r="Y173" s="506"/>
      <c r="Z173" s="504"/>
      <c r="AA173" s="505"/>
      <c r="AB173" s="505"/>
      <c r="AC173" s="505"/>
      <c r="AD173" s="505"/>
      <c r="AE173" s="505"/>
      <c r="AF173" s="505"/>
      <c r="AG173" s="505"/>
      <c r="AH173" s="505"/>
      <c r="AI173" s="505"/>
      <c r="AJ173" s="505"/>
      <c r="AK173" s="506"/>
      <c r="AL173" s="504"/>
      <c r="AM173" s="505"/>
      <c r="AN173" s="505"/>
      <c r="AO173" s="505"/>
      <c r="AP173" s="505"/>
      <c r="AQ173" s="505"/>
      <c r="AR173" s="505"/>
      <c r="AS173" s="505"/>
      <c r="AT173" s="505"/>
      <c r="AU173" s="505"/>
      <c r="AV173" s="505"/>
      <c r="AW173" s="506"/>
    </row>
    <row r="174" spans="1:49" s="75" customFormat="1" ht="21" customHeight="1" thickBot="1" x14ac:dyDescent="0.3">
      <c r="A174" s="515"/>
      <c r="B174" s="490" t="str">
        <f>IF(ISBLANK(B172),"",CONCATENATE(LEFT(INDEX(B$19:B$49,MATCH(LEFT(B172,11)&amp;"*",B$19:B$49,0)+2),FIND("-",INDEX(B$19:B$49,MATCH(LEFT(B172,11)&amp;"*",B$19:B$49,0)+2))),$A172))</f>
        <v/>
      </c>
      <c r="C174" s="491"/>
      <c r="D174" s="492"/>
      <c r="E174" s="193"/>
      <c r="F174" s="203"/>
      <c r="G174" s="195"/>
      <c r="H174" s="196"/>
      <c r="I174" s="196"/>
      <c r="J174" s="197"/>
      <c r="K174" s="198"/>
      <c r="L174" s="198"/>
      <c r="M174" s="198"/>
      <c r="N174" s="490" t="str">
        <f>IF(ISBLANK(N172),"",CONCATENATE(LEFT(INDEX(N$19:N$49,MATCH(LEFT(N172,11)&amp;"*",N$19:N$49,0)+2),FIND("-",INDEX(N$19:N$49,MATCH(LEFT(N172,11)&amp;"*",N$19:N$49,0)+2))),$A172))</f>
        <v/>
      </c>
      <c r="O174" s="491"/>
      <c r="P174" s="492"/>
      <c r="Q174" s="193"/>
      <c r="R174" s="203"/>
      <c r="S174" s="195"/>
      <c r="T174" s="196"/>
      <c r="U174" s="196"/>
      <c r="V174" s="197"/>
      <c r="W174" s="198"/>
      <c r="X174" s="194"/>
      <c r="Y174" s="198"/>
      <c r="Z174" s="490" t="str">
        <f>IF(ISBLANK(Z172),"",CONCATENATE(LEFT(INDEX(Z$19:Z$49,MATCH(LEFT(Z172,11)&amp;"*",Z$19:Z$49,0)+2),FIND("-",INDEX(Z$19:Z$49,MATCH(LEFT(Z172,11)&amp;"*",Z$19:Z$49,0)+2))),$A172))</f>
        <v/>
      </c>
      <c r="AA174" s="491"/>
      <c r="AB174" s="492"/>
      <c r="AC174" s="309"/>
      <c r="AD174" s="203"/>
      <c r="AE174" s="199"/>
      <c r="AF174" s="201"/>
      <c r="AG174" s="201"/>
      <c r="AH174" s="200"/>
      <c r="AI174" s="202"/>
      <c r="AJ174" s="202"/>
      <c r="AK174" s="214"/>
      <c r="AL174" s="490" t="str">
        <f>IF(ISBLANK(AL172),"",CONCATENATE(LEFT(INDEX(AL$19:AL$49,MATCH(LEFT(AL172,11)&amp;"*",AL$19:AL$49,0)+2),FIND("-",INDEX(AL$19:AL$49,MATCH(LEFT(AL172,11)&amp;"*",AL$19:AL$49,0)+2))),$A172))</f>
        <v/>
      </c>
      <c r="AM174" s="491"/>
      <c r="AN174" s="492"/>
      <c r="AO174" s="193"/>
      <c r="AP174" s="203"/>
      <c r="AQ174" s="195"/>
      <c r="AR174" s="196"/>
      <c r="AS174" s="196"/>
      <c r="AT174" s="197"/>
      <c r="AU174" s="198"/>
      <c r="AV174" s="194"/>
      <c r="AW174" s="198"/>
    </row>
    <row r="175" spans="1:49" s="75" customFormat="1" ht="21" customHeight="1" thickTop="1" x14ac:dyDescent="0.25">
      <c r="A175" s="513" t="s">
        <v>88</v>
      </c>
      <c r="B175" s="501"/>
      <c r="C175" s="502"/>
      <c r="D175" s="502"/>
      <c r="E175" s="502"/>
      <c r="F175" s="502"/>
      <c r="G175" s="502"/>
      <c r="H175" s="502"/>
      <c r="I175" s="502"/>
      <c r="J175" s="502"/>
      <c r="K175" s="502"/>
      <c r="L175" s="502"/>
      <c r="M175" s="503"/>
      <c r="N175" s="501"/>
      <c r="O175" s="502"/>
      <c r="P175" s="502"/>
      <c r="Q175" s="502"/>
      <c r="R175" s="502"/>
      <c r="S175" s="502"/>
      <c r="T175" s="502"/>
      <c r="U175" s="502"/>
      <c r="V175" s="502"/>
      <c r="W175" s="502"/>
      <c r="X175" s="502"/>
      <c r="Y175" s="503"/>
      <c r="Z175" s="501"/>
      <c r="AA175" s="502"/>
      <c r="AB175" s="502"/>
      <c r="AC175" s="502"/>
      <c r="AD175" s="502"/>
      <c r="AE175" s="502"/>
      <c r="AF175" s="502"/>
      <c r="AG175" s="502"/>
      <c r="AH175" s="502"/>
      <c r="AI175" s="502"/>
      <c r="AJ175" s="502"/>
      <c r="AK175" s="503"/>
      <c r="AL175" s="501"/>
      <c r="AM175" s="502"/>
      <c r="AN175" s="502"/>
      <c r="AO175" s="502"/>
      <c r="AP175" s="502"/>
      <c r="AQ175" s="502"/>
      <c r="AR175" s="502"/>
      <c r="AS175" s="502"/>
      <c r="AT175" s="502"/>
      <c r="AU175" s="502"/>
      <c r="AV175" s="502"/>
      <c r="AW175" s="503"/>
    </row>
    <row r="176" spans="1:49" s="75" customFormat="1" ht="21" customHeight="1" x14ac:dyDescent="0.25">
      <c r="A176" s="514"/>
      <c r="B176" s="504"/>
      <c r="C176" s="505"/>
      <c r="D176" s="505"/>
      <c r="E176" s="505"/>
      <c r="F176" s="505"/>
      <c r="G176" s="505"/>
      <c r="H176" s="505"/>
      <c r="I176" s="505"/>
      <c r="J176" s="505"/>
      <c r="K176" s="505"/>
      <c r="L176" s="505"/>
      <c r="M176" s="506"/>
      <c r="N176" s="504"/>
      <c r="O176" s="505"/>
      <c r="P176" s="505"/>
      <c r="Q176" s="505"/>
      <c r="R176" s="505"/>
      <c r="S176" s="505"/>
      <c r="T176" s="505"/>
      <c r="U176" s="505"/>
      <c r="V176" s="505"/>
      <c r="W176" s="505"/>
      <c r="X176" s="505"/>
      <c r="Y176" s="506"/>
      <c r="Z176" s="504"/>
      <c r="AA176" s="505"/>
      <c r="AB176" s="505"/>
      <c r="AC176" s="505"/>
      <c r="AD176" s="505"/>
      <c r="AE176" s="505"/>
      <c r="AF176" s="505"/>
      <c r="AG176" s="505"/>
      <c r="AH176" s="505"/>
      <c r="AI176" s="505"/>
      <c r="AJ176" s="505"/>
      <c r="AK176" s="506"/>
      <c r="AL176" s="504"/>
      <c r="AM176" s="505"/>
      <c r="AN176" s="505"/>
      <c r="AO176" s="505"/>
      <c r="AP176" s="505"/>
      <c r="AQ176" s="505"/>
      <c r="AR176" s="505"/>
      <c r="AS176" s="505"/>
      <c r="AT176" s="505"/>
      <c r="AU176" s="505"/>
      <c r="AV176" s="505"/>
      <c r="AW176" s="506"/>
    </row>
    <row r="177" spans="1:49" s="78" customFormat="1" ht="21" customHeight="1" thickBot="1" x14ac:dyDescent="0.25">
      <c r="A177" s="515"/>
      <c r="B177" s="490" t="str">
        <f>IF(ISBLANK(B175),"",CONCATENATE(LEFT(INDEX(B$19:B$49,MATCH(LEFT(B175,11)&amp;"*",B$19:B$49,0)+2),FIND("-",INDEX(B$19:B$49,MATCH(LEFT(B175,11)&amp;"*",B$19:B$49,0)+2))),$A175))</f>
        <v/>
      </c>
      <c r="C177" s="491"/>
      <c r="D177" s="492"/>
      <c r="E177" s="193"/>
      <c r="F177" s="203"/>
      <c r="G177" s="195"/>
      <c r="H177" s="196"/>
      <c r="I177" s="196"/>
      <c r="J177" s="197"/>
      <c r="K177" s="198"/>
      <c r="L177" s="198"/>
      <c r="M177" s="198"/>
      <c r="N177" s="490" t="str">
        <f>IF(ISBLANK(N175),"",CONCATENATE(LEFT(INDEX(N$19:N$49,MATCH(LEFT(N175,11)&amp;"*",N$19:N$49,0)+2),FIND("-",INDEX(N$19:N$49,MATCH(LEFT(N175,11)&amp;"*",N$19:N$49,0)+2))),$A175))</f>
        <v/>
      </c>
      <c r="O177" s="491"/>
      <c r="P177" s="492"/>
      <c r="Q177" s="193"/>
      <c r="R177" s="203"/>
      <c r="S177" s="195"/>
      <c r="T177" s="196"/>
      <c r="U177" s="196"/>
      <c r="V177" s="197"/>
      <c r="W177" s="198"/>
      <c r="X177" s="194"/>
      <c r="Y177" s="198"/>
      <c r="Z177" s="490" t="str">
        <f>IF(ISBLANK(Z175),"",CONCATENATE(LEFT(INDEX(Z$19:Z$49,MATCH(LEFT(Z175,11)&amp;"*",Z$19:Z$49,0)+2),FIND("-",INDEX(Z$19:Z$49,MATCH(LEFT(Z175,11)&amp;"*",Z$19:Z$49,0)+2))),$A175))</f>
        <v/>
      </c>
      <c r="AA177" s="491"/>
      <c r="AB177" s="492"/>
      <c r="AC177" s="309"/>
      <c r="AD177" s="203"/>
      <c r="AE177" s="199"/>
      <c r="AF177" s="201"/>
      <c r="AG177" s="201"/>
      <c r="AH177" s="200"/>
      <c r="AI177" s="202"/>
      <c r="AJ177" s="202"/>
      <c r="AK177" s="214"/>
      <c r="AL177" s="490" t="str">
        <f>IF(ISBLANK(AL175),"",CONCATENATE(LEFT(INDEX(AL$19:AL$49,MATCH(LEFT(AL175,11)&amp;"*",AL$19:AL$49,0)+2),FIND("-",INDEX(AL$19:AL$49,MATCH(LEFT(AL175,11)&amp;"*",AL$19:AL$49,0)+2))),$A175))</f>
        <v/>
      </c>
      <c r="AM177" s="491"/>
      <c r="AN177" s="492"/>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7" t="s">
        <v>89</v>
      </c>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8"/>
      <c r="AL179" s="578"/>
      <c r="AM179" s="578"/>
      <c r="AN179" s="578"/>
      <c r="AO179" s="578"/>
      <c r="AP179" s="578"/>
      <c r="AQ179" s="578"/>
      <c r="AR179" s="579"/>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63" t="s">
        <v>290</v>
      </c>
      <c r="B181" s="464"/>
      <c r="C181" s="464"/>
      <c r="D181" s="464"/>
      <c r="E181" s="464"/>
      <c r="F181" s="464"/>
      <c r="G181" s="464"/>
      <c r="H181" s="464"/>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464"/>
      <c r="AL181" s="464"/>
      <c r="AM181" s="464"/>
      <c r="AN181" s="464"/>
      <c r="AO181" s="464"/>
      <c r="AP181" s="464"/>
      <c r="AQ181" s="464"/>
      <c r="AR181" s="464"/>
      <c r="AS181" s="464"/>
      <c r="AT181" s="464"/>
      <c r="AU181" s="464"/>
      <c r="AV181" s="464"/>
      <c r="AW181" s="464"/>
    </row>
    <row r="182" spans="1:49" s="59" customFormat="1" ht="21" customHeight="1" x14ac:dyDescent="0.2">
      <c r="O182" s="392"/>
      <c r="AT182" s="71"/>
      <c r="AU182" s="71"/>
      <c r="AV182" s="72"/>
      <c r="AW182" s="72"/>
    </row>
    <row r="183" spans="1:49" s="59" customFormat="1" ht="21" customHeight="1" x14ac:dyDescent="0.25">
      <c r="B183" s="468" t="s">
        <v>39</v>
      </c>
      <c r="C183" s="468"/>
      <c r="D183" s="468"/>
      <c r="E183" s="468"/>
      <c r="F183" s="468"/>
      <c r="G183" s="468"/>
      <c r="H183" s="468"/>
      <c r="I183" s="468"/>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8" t="s">
        <v>42</v>
      </c>
      <c r="AO183" s="468"/>
      <c r="AP183" s="468"/>
      <c r="AQ183" s="468"/>
      <c r="AR183" s="468"/>
      <c r="AS183" s="468"/>
      <c r="AT183" s="468"/>
      <c r="AU183" s="468"/>
      <c r="AV183" s="48"/>
      <c r="AW183" s="48"/>
    </row>
    <row r="184" spans="1:49" s="59" customFormat="1" ht="21" customHeight="1" x14ac:dyDescent="0.2">
      <c r="B184" s="469" t="str">
        <f>Coperta!B$46</f>
        <v>Conf.univ.dr.ing. Florin DRĂGAN</v>
      </c>
      <c r="C184" s="469"/>
      <c r="D184" s="469"/>
      <c r="E184" s="469"/>
      <c r="F184" s="469"/>
      <c r="G184" s="469"/>
      <c r="H184" s="469"/>
      <c r="I184" s="469"/>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9" t="str">
        <f>Coperta!N$46</f>
        <v>Conf.univ.dr.ing. Virgil STOICA</v>
      </c>
      <c r="AO184" s="469"/>
      <c r="AP184" s="469"/>
      <c r="AQ184" s="469"/>
      <c r="AR184" s="469"/>
      <c r="AS184" s="469"/>
      <c r="AT184" s="469"/>
      <c r="AU184" s="469"/>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industrială</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Tehnologia Constructiilor de Masini</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0" t="s">
        <v>82</v>
      </c>
      <c r="B198" s="510"/>
      <c r="C198" s="510"/>
      <c r="D198" s="510"/>
      <c r="E198" s="510"/>
      <c r="F198" s="510"/>
      <c r="G198" s="510"/>
      <c r="H198" s="510"/>
      <c r="I198" s="510"/>
      <c r="J198" s="510"/>
      <c r="K198" s="510"/>
      <c r="L198" s="510"/>
      <c r="M198" s="510"/>
      <c r="N198" s="510"/>
      <c r="O198" s="510"/>
      <c r="P198" s="510"/>
      <c r="Q198" s="510"/>
      <c r="R198" s="510"/>
      <c r="S198" s="510"/>
      <c r="T198" s="510"/>
      <c r="U198" s="510"/>
      <c r="V198" s="510"/>
      <c r="W198" s="510"/>
      <c r="X198" s="510"/>
      <c r="Y198" s="510"/>
      <c r="Z198" s="510"/>
      <c r="AA198" s="510"/>
      <c r="AB198" s="510"/>
      <c r="AC198" s="510"/>
      <c r="AD198" s="510"/>
      <c r="AE198" s="510"/>
      <c r="AF198" s="510"/>
      <c r="AG198" s="510"/>
      <c r="AH198" s="510"/>
      <c r="AI198" s="510"/>
      <c r="AJ198" s="510"/>
      <c r="AK198" s="510"/>
      <c r="AL198" s="510"/>
      <c r="AM198" s="510"/>
      <c r="AN198" s="510"/>
      <c r="AO198" s="510"/>
      <c r="AP198" s="510"/>
      <c r="AQ198" s="510"/>
      <c r="AR198" s="510"/>
      <c r="AS198" s="510"/>
      <c r="AT198" s="510"/>
      <c r="AU198" s="510"/>
      <c r="AV198" s="510"/>
      <c r="AW198" s="510"/>
    </row>
    <row r="199" spans="1:49" s="78" customFormat="1" ht="21" customHeight="1" thickBot="1" x14ac:dyDescent="0.25">
      <c r="A199" s="510" t="str">
        <f>A16</f>
        <v>Pentru seria de studenti 2019-2022</v>
      </c>
      <c r="B199" s="510"/>
      <c r="C199" s="510"/>
      <c r="D199" s="510"/>
      <c r="E199" s="510"/>
      <c r="F199" s="510"/>
      <c r="G199" s="510"/>
      <c r="H199" s="510"/>
      <c r="I199" s="510"/>
      <c r="J199" s="510"/>
      <c r="K199" s="510"/>
      <c r="L199" s="510"/>
      <c r="M199" s="510"/>
      <c r="N199" s="510"/>
      <c r="O199" s="510"/>
      <c r="P199" s="510"/>
      <c r="Q199" s="510"/>
      <c r="R199" s="510"/>
      <c r="S199" s="510"/>
      <c r="T199" s="510"/>
      <c r="U199" s="510"/>
      <c r="V199" s="510"/>
      <c r="W199" s="510"/>
      <c r="X199" s="510"/>
      <c r="Y199" s="510"/>
      <c r="Z199" s="510"/>
      <c r="AA199" s="510"/>
      <c r="AB199" s="510"/>
      <c r="AC199" s="510"/>
      <c r="AD199" s="510"/>
      <c r="AE199" s="510"/>
      <c r="AF199" s="510"/>
      <c r="AG199" s="510"/>
      <c r="AH199" s="510"/>
      <c r="AI199" s="510"/>
      <c r="AJ199" s="510"/>
      <c r="AK199" s="510"/>
      <c r="AL199" s="510"/>
      <c r="AM199" s="510"/>
      <c r="AN199" s="510"/>
      <c r="AO199" s="510"/>
      <c r="AP199" s="510"/>
      <c r="AQ199" s="510"/>
      <c r="AR199" s="510"/>
      <c r="AS199" s="510"/>
      <c r="AT199" s="510"/>
      <c r="AU199" s="510"/>
      <c r="AV199" s="510"/>
      <c r="AW199" s="510"/>
    </row>
    <row r="200" spans="1:49" s="78" customFormat="1" ht="21" customHeight="1" thickTop="1" thickBot="1" x14ac:dyDescent="0.3">
      <c r="B200" s="511" t="str">
        <f>B69</f>
        <v>ANUL III (2021-2022)</v>
      </c>
      <c r="C200" s="512"/>
      <c r="D200" s="512"/>
      <c r="E200" s="512"/>
      <c r="F200" s="512"/>
      <c r="G200" s="512"/>
      <c r="H200" s="512"/>
      <c r="I200" s="512"/>
      <c r="J200" s="512"/>
      <c r="K200" s="512"/>
      <c r="L200" s="512"/>
      <c r="M200" s="512"/>
      <c r="N200" s="512"/>
      <c r="O200" s="512"/>
      <c r="P200" s="512"/>
      <c r="Q200" s="512"/>
      <c r="R200" s="512"/>
      <c r="S200" s="512"/>
      <c r="T200" s="512"/>
      <c r="U200" s="512"/>
      <c r="V200" s="512"/>
      <c r="W200" s="512"/>
      <c r="X200" s="512"/>
      <c r="Y200" s="512"/>
      <c r="Z200" s="524" t="str">
        <f>Z69</f>
        <v>ANUL IV (2022-2023)</v>
      </c>
      <c r="AA200" s="525"/>
      <c r="AB200" s="525"/>
      <c r="AC200" s="525"/>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row>
    <row r="201" spans="1:49" s="75" customFormat="1" ht="21" customHeight="1" thickTop="1" thickBot="1" x14ac:dyDescent="0.3">
      <c r="A201" s="60"/>
      <c r="B201" s="488" t="s">
        <v>76</v>
      </c>
      <c r="C201" s="489"/>
      <c r="D201" s="489"/>
      <c r="E201" s="489"/>
      <c r="F201" s="489"/>
      <c r="G201" s="489"/>
      <c r="H201" s="489"/>
      <c r="I201" s="489"/>
      <c r="J201" s="489"/>
      <c r="K201" s="489"/>
      <c r="L201" s="489"/>
      <c r="M201" s="489"/>
      <c r="N201" s="488" t="s">
        <v>77</v>
      </c>
      <c r="O201" s="489"/>
      <c r="P201" s="489"/>
      <c r="Q201" s="489"/>
      <c r="R201" s="489"/>
      <c r="S201" s="489"/>
      <c r="T201" s="489"/>
      <c r="U201" s="489"/>
      <c r="V201" s="489"/>
      <c r="W201" s="489"/>
      <c r="X201" s="489"/>
      <c r="Y201" s="489"/>
      <c r="Z201" s="488" t="s">
        <v>78</v>
      </c>
      <c r="AA201" s="489"/>
      <c r="AB201" s="489"/>
      <c r="AC201" s="489"/>
      <c r="AD201" s="489"/>
      <c r="AE201" s="489"/>
      <c r="AF201" s="489"/>
      <c r="AG201" s="489"/>
      <c r="AH201" s="489"/>
      <c r="AI201" s="489"/>
      <c r="AJ201" s="489"/>
      <c r="AK201" s="489"/>
      <c r="AL201" s="489" t="s">
        <v>79</v>
      </c>
      <c r="AM201" s="489"/>
      <c r="AN201" s="489"/>
      <c r="AO201" s="489"/>
      <c r="AP201" s="489"/>
      <c r="AQ201" s="489"/>
      <c r="AR201" s="489"/>
      <c r="AS201" s="489"/>
      <c r="AT201" s="489"/>
      <c r="AU201" s="489"/>
      <c r="AV201" s="489"/>
      <c r="AW201" s="489"/>
    </row>
    <row r="202" spans="1:49" s="75" customFormat="1" ht="21" customHeight="1" thickTop="1" x14ac:dyDescent="0.25">
      <c r="A202" s="513" t="s">
        <v>66</v>
      </c>
      <c r="B202" s="501" t="s">
        <v>391</v>
      </c>
      <c r="C202" s="502"/>
      <c r="D202" s="502"/>
      <c r="E202" s="502"/>
      <c r="F202" s="502"/>
      <c r="G202" s="502"/>
      <c r="H202" s="502"/>
      <c r="I202" s="502"/>
      <c r="J202" s="502"/>
      <c r="K202" s="502"/>
      <c r="L202" s="502"/>
      <c r="M202" s="503"/>
      <c r="N202" s="501" t="s">
        <v>394</v>
      </c>
      <c r="O202" s="502"/>
      <c r="P202" s="502"/>
      <c r="Q202" s="502"/>
      <c r="R202" s="502"/>
      <c r="S202" s="502"/>
      <c r="T202" s="502"/>
      <c r="U202" s="502"/>
      <c r="V202" s="502"/>
      <c r="W202" s="502"/>
      <c r="X202" s="502"/>
      <c r="Y202" s="503"/>
      <c r="Z202" s="501" t="s">
        <v>414</v>
      </c>
      <c r="AA202" s="502"/>
      <c r="AB202" s="502"/>
      <c r="AC202" s="502"/>
      <c r="AD202" s="502"/>
      <c r="AE202" s="502"/>
      <c r="AF202" s="502"/>
      <c r="AG202" s="502"/>
      <c r="AH202" s="502"/>
      <c r="AI202" s="502"/>
      <c r="AJ202" s="502"/>
      <c r="AK202" s="503"/>
      <c r="AL202" s="501" t="s">
        <v>406</v>
      </c>
      <c r="AM202" s="502"/>
      <c r="AN202" s="502"/>
      <c r="AO202" s="502"/>
      <c r="AP202" s="502"/>
      <c r="AQ202" s="502"/>
      <c r="AR202" s="502"/>
      <c r="AS202" s="502"/>
      <c r="AT202" s="502"/>
      <c r="AU202" s="502"/>
      <c r="AV202" s="502"/>
      <c r="AW202" s="503"/>
    </row>
    <row r="203" spans="1:49" s="75" customFormat="1" ht="21" customHeight="1" x14ac:dyDescent="0.25">
      <c r="A203" s="514"/>
      <c r="B203" s="504"/>
      <c r="C203" s="505"/>
      <c r="D203" s="505"/>
      <c r="E203" s="505"/>
      <c r="F203" s="505"/>
      <c r="G203" s="505"/>
      <c r="H203" s="505"/>
      <c r="I203" s="505"/>
      <c r="J203" s="505"/>
      <c r="K203" s="505"/>
      <c r="L203" s="505"/>
      <c r="M203" s="506"/>
      <c r="N203" s="504"/>
      <c r="O203" s="505"/>
      <c r="P203" s="505"/>
      <c r="Q203" s="505"/>
      <c r="R203" s="505"/>
      <c r="S203" s="505"/>
      <c r="T203" s="505"/>
      <c r="U203" s="505"/>
      <c r="V203" s="505"/>
      <c r="W203" s="505"/>
      <c r="X203" s="505"/>
      <c r="Y203" s="506"/>
      <c r="Z203" s="504"/>
      <c r="AA203" s="505"/>
      <c r="AB203" s="505"/>
      <c r="AC203" s="505"/>
      <c r="AD203" s="505"/>
      <c r="AE203" s="505"/>
      <c r="AF203" s="505"/>
      <c r="AG203" s="505"/>
      <c r="AH203" s="505"/>
      <c r="AI203" s="505"/>
      <c r="AJ203" s="505"/>
      <c r="AK203" s="506"/>
      <c r="AL203" s="504"/>
      <c r="AM203" s="505"/>
      <c r="AN203" s="505"/>
      <c r="AO203" s="505"/>
      <c r="AP203" s="505"/>
      <c r="AQ203" s="505"/>
      <c r="AR203" s="505"/>
      <c r="AS203" s="505"/>
      <c r="AT203" s="505"/>
      <c r="AU203" s="505"/>
      <c r="AV203" s="505"/>
      <c r="AW203" s="506"/>
    </row>
    <row r="204" spans="1:49" s="75" customFormat="1" ht="21" customHeight="1" thickBot="1" x14ac:dyDescent="0.3">
      <c r="A204" s="515"/>
      <c r="B204" s="490" t="str">
        <f>IF(ISBLANK(B202),"",CONCATENATE(LEFT(INDEX(B$71:B$102,MATCH(LEFT(B202,11)&amp;"*",B$71:B$102,0)+2),FIND("-",INDEX(B$71:B$102,MATCH(LEFT(B202,11)&amp;"*",B$71:B$102,0)+2))),$A202))</f>
        <v>L420.19.05.S6-01</v>
      </c>
      <c r="C204" s="491"/>
      <c r="D204" s="492"/>
      <c r="E204" s="364">
        <v>3</v>
      </c>
      <c r="F204" s="365" t="s">
        <v>295</v>
      </c>
      <c r="G204" s="366">
        <v>0</v>
      </c>
      <c r="H204" s="367">
        <v>0</v>
      </c>
      <c r="I204" s="367">
        <v>14</v>
      </c>
      <c r="J204" s="368">
        <v>0</v>
      </c>
      <c r="K204" s="365">
        <v>0</v>
      </c>
      <c r="L204" s="365" t="s">
        <v>54</v>
      </c>
      <c r="M204" s="187">
        <f>E204*25-G204-H204-I204-J204-K204</f>
        <v>61</v>
      </c>
      <c r="N204" s="490" t="str">
        <f>IF(ISBLANK(N202),"",CONCATENATE(LEFT(INDEX(N$71:N$102,MATCH(LEFT(N202,11)&amp;"*",N$71:N$102,0)+2),FIND("-",INDEX(N$71:N$102,MATCH(LEFT(N202,11)&amp;"*",N$71:N$102,0)+2))),$A202))</f>
        <v>L420.19.06.S4-01</v>
      </c>
      <c r="O204" s="491"/>
      <c r="P204" s="492"/>
      <c r="Q204" s="364">
        <v>3</v>
      </c>
      <c r="R204" s="365" t="s">
        <v>295</v>
      </c>
      <c r="S204" s="366">
        <v>0</v>
      </c>
      <c r="T204" s="367">
        <v>0</v>
      </c>
      <c r="U204" s="367">
        <v>0</v>
      </c>
      <c r="V204" s="368">
        <v>28</v>
      </c>
      <c r="W204" s="365">
        <v>0</v>
      </c>
      <c r="X204" s="429" t="s">
        <v>54</v>
      </c>
      <c r="Y204" s="203">
        <f>Q204*25-S204-T204-U204-V204-W204</f>
        <v>47</v>
      </c>
      <c r="Z204" s="490" t="str">
        <f>IF(ISBLANK(Z202),"",CONCATENATE(LEFT(INDEX(Z$71:Z$102,MATCH(LEFT(Z202,11)&amp;"*",Z$71:Z$102,0)+2),FIND("-",INDEX(Z$71:Z$102,MATCH(LEFT(Z202,11)&amp;"*",Z$71:Z$102,0)+2))),$A202))</f>
        <v>L420.19.07.S1-01</v>
      </c>
      <c r="AA204" s="491"/>
      <c r="AB204" s="492"/>
      <c r="AC204" s="364">
        <v>5</v>
      </c>
      <c r="AD204" s="365" t="s">
        <v>5</v>
      </c>
      <c r="AE204" s="366">
        <v>0</v>
      </c>
      <c r="AF204" s="367">
        <v>0</v>
      </c>
      <c r="AG204" s="367">
        <v>14</v>
      </c>
      <c r="AH204" s="368">
        <v>14</v>
      </c>
      <c r="AI204" s="365">
        <v>0</v>
      </c>
      <c r="AJ204" s="429" t="s">
        <v>59</v>
      </c>
      <c r="AK204" s="187">
        <f>AC204*25-AE204-AF204-AG204-AH204-AI204</f>
        <v>97</v>
      </c>
      <c r="AL204" s="490" t="str">
        <f>IF(ISBLANK(AL202),"",CONCATENATE(LEFT(INDEX(AL$71:AL$102,MATCH(LEFT(AL202,11)&amp;"*",AL$71:AL$102,0)+2),FIND("-",INDEX(AL$71:AL$102,MATCH(LEFT(AL202,11)&amp;"*",AL$71:AL$102,0)+2))),$A202))</f>
        <v>L420.19.08.S1-01</v>
      </c>
      <c r="AM204" s="491"/>
      <c r="AN204" s="492"/>
      <c r="AO204" s="364">
        <v>4</v>
      </c>
      <c r="AP204" s="365" t="s">
        <v>5</v>
      </c>
      <c r="AQ204" s="366">
        <v>0</v>
      </c>
      <c r="AR204" s="367">
        <v>0</v>
      </c>
      <c r="AS204" s="367">
        <v>28</v>
      </c>
      <c r="AT204" s="368">
        <v>0</v>
      </c>
      <c r="AU204" s="365">
        <v>0</v>
      </c>
      <c r="AV204" s="429" t="s">
        <v>59</v>
      </c>
      <c r="AW204" s="187">
        <f>AO204*25-AQ204-AR204-AS204-AT204-AU204</f>
        <v>72</v>
      </c>
    </row>
    <row r="205" spans="1:49" s="75" customFormat="1" ht="21" customHeight="1" thickTop="1" x14ac:dyDescent="0.25">
      <c r="A205" s="513" t="s">
        <v>67</v>
      </c>
      <c r="B205" s="501" t="s">
        <v>390</v>
      </c>
      <c r="C205" s="502"/>
      <c r="D205" s="502"/>
      <c r="E205" s="502"/>
      <c r="F205" s="502"/>
      <c r="G205" s="502"/>
      <c r="H205" s="502"/>
      <c r="I205" s="502"/>
      <c r="J205" s="502"/>
      <c r="K205" s="502"/>
      <c r="L205" s="502"/>
      <c r="M205" s="503"/>
      <c r="N205" s="501" t="s">
        <v>395</v>
      </c>
      <c r="O205" s="502"/>
      <c r="P205" s="502"/>
      <c r="Q205" s="502"/>
      <c r="R205" s="502"/>
      <c r="S205" s="502"/>
      <c r="T205" s="502"/>
      <c r="U205" s="502"/>
      <c r="V205" s="502"/>
      <c r="W205" s="502"/>
      <c r="X205" s="502"/>
      <c r="Y205" s="503"/>
      <c r="Z205" s="501" t="s">
        <v>415</v>
      </c>
      <c r="AA205" s="502"/>
      <c r="AB205" s="502"/>
      <c r="AC205" s="502"/>
      <c r="AD205" s="502"/>
      <c r="AE205" s="502"/>
      <c r="AF205" s="502"/>
      <c r="AG205" s="502"/>
      <c r="AH205" s="502"/>
      <c r="AI205" s="502"/>
      <c r="AJ205" s="502"/>
      <c r="AK205" s="503"/>
      <c r="AL205" s="501" t="s">
        <v>407</v>
      </c>
      <c r="AM205" s="502"/>
      <c r="AN205" s="502"/>
      <c r="AO205" s="502"/>
      <c r="AP205" s="502"/>
      <c r="AQ205" s="502"/>
      <c r="AR205" s="502"/>
      <c r="AS205" s="502"/>
      <c r="AT205" s="502"/>
      <c r="AU205" s="502"/>
      <c r="AV205" s="502"/>
      <c r="AW205" s="503"/>
    </row>
    <row r="206" spans="1:49" s="75" customFormat="1" ht="21" customHeight="1" x14ac:dyDescent="0.25">
      <c r="A206" s="514"/>
      <c r="B206" s="504"/>
      <c r="C206" s="505"/>
      <c r="D206" s="505"/>
      <c r="E206" s="505"/>
      <c r="F206" s="505"/>
      <c r="G206" s="505"/>
      <c r="H206" s="505"/>
      <c r="I206" s="505"/>
      <c r="J206" s="505"/>
      <c r="K206" s="505"/>
      <c r="L206" s="505"/>
      <c r="M206" s="506"/>
      <c r="N206" s="504"/>
      <c r="O206" s="505"/>
      <c r="P206" s="505"/>
      <c r="Q206" s="505"/>
      <c r="R206" s="505"/>
      <c r="S206" s="505"/>
      <c r="T206" s="505"/>
      <c r="U206" s="505"/>
      <c r="V206" s="505"/>
      <c r="W206" s="505"/>
      <c r="X206" s="505"/>
      <c r="Y206" s="506"/>
      <c r="Z206" s="504"/>
      <c r="AA206" s="505"/>
      <c r="AB206" s="505"/>
      <c r="AC206" s="505"/>
      <c r="AD206" s="505"/>
      <c r="AE206" s="505"/>
      <c r="AF206" s="505"/>
      <c r="AG206" s="505"/>
      <c r="AH206" s="505"/>
      <c r="AI206" s="505"/>
      <c r="AJ206" s="505"/>
      <c r="AK206" s="506"/>
      <c r="AL206" s="504"/>
      <c r="AM206" s="505"/>
      <c r="AN206" s="505"/>
      <c r="AO206" s="505"/>
      <c r="AP206" s="505"/>
      <c r="AQ206" s="505"/>
      <c r="AR206" s="505"/>
      <c r="AS206" s="505"/>
      <c r="AT206" s="505"/>
      <c r="AU206" s="505"/>
      <c r="AV206" s="505"/>
      <c r="AW206" s="506"/>
    </row>
    <row r="207" spans="1:49" s="75" customFormat="1" ht="21" customHeight="1" thickBot="1" x14ac:dyDescent="0.3">
      <c r="A207" s="515"/>
      <c r="B207" s="490" t="str">
        <f>IF(ISBLANK(B205),"",CONCATENATE(LEFT(INDEX(B$71:B$102,MATCH(LEFT(B205,11)&amp;"*",B$71:B$102,0)+2),FIND("-",INDEX(B$71:B$102,MATCH(LEFT(B205,11)&amp;"*",B$71:B$102,0)+2))),A205))</f>
        <v>L420.19.05.S6-02</v>
      </c>
      <c r="C207" s="491"/>
      <c r="D207" s="492"/>
      <c r="E207" s="364">
        <v>3</v>
      </c>
      <c r="F207" s="365" t="s">
        <v>295</v>
      </c>
      <c r="G207" s="366">
        <v>0</v>
      </c>
      <c r="H207" s="367">
        <v>0</v>
      </c>
      <c r="I207" s="367">
        <v>14</v>
      </c>
      <c r="J207" s="368">
        <v>0</v>
      </c>
      <c r="K207" s="365">
        <v>0</v>
      </c>
      <c r="L207" s="365" t="s">
        <v>54</v>
      </c>
      <c r="M207" s="187">
        <f>E207*25-G207-H207-I207-J207-K207</f>
        <v>61</v>
      </c>
      <c r="N207" s="490" t="str">
        <f>IF(ISBLANK(N205),"",CONCATENATE(LEFT(INDEX(N$71:N$102,MATCH(LEFT(N205,11)&amp;"*",N$71:N$102,0)+2),FIND("-",INDEX(N$71:N$102,MATCH(LEFT(N205,11)&amp;"*",N$71:N$102,0)+2))),$A205))</f>
        <v>L420.19.06.S4-02</v>
      </c>
      <c r="O207" s="491"/>
      <c r="P207" s="492"/>
      <c r="Q207" s="364">
        <v>3</v>
      </c>
      <c r="R207" s="365" t="s">
        <v>295</v>
      </c>
      <c r="S207" s="366">
        <v>0</v>
      </c>
      <c r="T207" s="367">
        <v>0</v>
      </c>
      <c r="U207" s="367">
        <v>0</v>
      </c>
      <c r="V207" s="368">
        <v>28</v>
      </c>
      <c r="W207" s="365">
        <v>0</v>
      </c>
      <c r="X207" s="429" t="s">
        <v>54</v>
      </c>
      <c r="Y207" s="203">
        <f>Q207*25-S207-T207-U207-V207-W207</f>
        <v>47</v>
      </c>
      <c r="Z207" s="490" t="str">
        <f>IF(ISBLANK(Z205),"",CONCATENATE(LEFT(INDEX(Z$71:Z$102,MATCH(LEFT(Z205,11)&amp;"*",Z$71:Z$102,0)+2),FIND("-",INDEX(Z$71:Z$102,MATCH(LEFT(Z205,11)&amp;"*",Z$71:Z$102,0)+2))),$A205))</f>
        <v>L420.19.07.S1-02</v>
      </c>
      <c r="AA207" s="491"/>
      <c r="AB207" s="492"/>
      <c r="AC207" s="364">
        <v>5</v>
      </c>
      <c r="AD207" s="365" t="s">
        <v>5</v>
      </c>
      <c r="AE207" s="366">
        <v>0</v>
      </c>
      <c r="AF207" s="367">
        <v>0</v>
      </c>
      <c r="AG207" s="367">
        <v>14</v>
      </c>
      <c r="AH207" s="368">
        <v>14</v>
      </c>
      <c r="AI207" s="365">
        <v>0</v>
      </c>
      <c r="AJ207" s="429" t="s">
        <v>59</v>
      </c>
      <c r="AK207" s="187">
        <f>AC207*25-AE207-AF207-AG207-AH207-AI207</f>
        <v>97</v>
      </c>
      <c r="AL207" s="490" t="str">
        <f>IF(ISBLANK(AL205),"",CONCATENATE(LEFT(INDEX(AL$71:AL$102,MATCH(LEFT(AL205,11)&amp;"*",AL$71:AL$102,0)+2),FIND("-",INDEX(AL$71:AL$102,MATCH(LEFT(AL205,11)&amp;"*",AL$71:AL$102,0)+2))),$A205))</f>
        <v>L420.19.08.S2-02</v>
      </c>
      <c r="AM207" s="491"/>
      <c r="AN207" s="492"/>
      <c r="AO207" s="364">
        <v>4</v>
      </c>
      <c r="AP207" s="365" t="s">
        <v>5</v>
      </c>
      <c r="AQ207" s="366">
        <v>0</v>
      </c>
      <c r="AR207" s="367">
        <v>0</v>
      </c>
      <c r="AS207" s="367">
        <v>28</v>
      </c>
      <c r="AT207" s="368">
        <v>0</v>
      </c>
      <c r="AU207" s="365">
        <v>0</v>
      </c>
      <c r="AV207" s="429" t="s">
        <v>59</v>
      </c>
      <c r="AW207" s="187">
        <f>AO207*25-AQ207-AR207-AS207-AT207-AU207</f>
        <v>72</v>
      </c>
    </row>
    <row r="208" spans="1:49" s="75" customFormat="1" ht="21" customHeight="1" thickTop="1" x14ac:dyDescent="0.25">
      <c r="A208" s="513" t="s">
        <v>68</v>
      </c>
      <c r="B208" s="501" t="s">
        <v>392</v>
      </c>
      <c r="C208" s="502"/>
      <c r="D208" s="502"/>
      <c r="E208" s="502"/>
      <c r="F208" s="502"/>
      <c r="G208" s="502"/>
      <c r="H208" s="502"/>
      <c r="I208" s="502"/>
      <c r="J208" s="502"/>
      <c r="K208" s="502"/>
      <c r="L208" s="502"/>
      <c r="M208" s="503"/>
      <c r="N208" s="501" t="s">
        <v>396</v>
      </c>
      <c r="O208" s="502"/>
      <c r="P208" s="502"/>
      <c r="Q208" s="502"/>
      <c r="R208" s="502"/>
      <c r="S208" s="502"/>
      <c r="T208" s="502"/>
      <c r="U208" s="502"/>
      <c r="V208" s="502"/>
      <c r="W208" s="502"/>
      <c r="X208" s="502"/>
      <c r="Y208" s="503"/>
      <c r="Z208" s="501" t="s">
        <v>416</v>
      </c>
      <c r="AA208" s="502"/>
      <c r="AB208" s="502"/>
      <c r="AC208" s="502"/>
      <c r="AD208" s="502"/>
      <c r="AE208" s="502"/>
      <c r="AF208" s="502"/>
      <c r="AG208" s="502"/>
      <c r="AH208" s="502"/>
      <c r="AI208" s="502"/>
      <c r="AJ208" s="502"/>
      <c r="AK208" s="503"/>
      <c r="AL208" s="501" t="s">
        <v>408</v>
      </c>
      <c r="AM208" s="502"/>
      <c r="AN208" s="502"/>
      <c r="AO208" s="502"/>
      <c r="AP208" s="502"/>
      <c r="AQ208" s="502"/>
      <c r="AR208" s="502"/>
      <c r="AS208" s="502"/>
      <c r="AT208" s="502"/>
      <c r="AU208" s="502"/>
      <c r="AV208" s="502"/>
      <c r="AW208" s="503"/>
    </row>
    <row r="209" spans="1:49" s="75" customFormat="1" ht="21" customHeight="1" x14ac:dyDescent="0.25">
      <c r="A209" s="514"/>
      <c r="B209" s="504"/>
      <c r="C209" s="505"/>
      <c r="D209" s="505"/>
      <c r="E209" s="505"/>
      <c r="F209" s="505"/>
      <c r="G209" s="505"/>
      <c r="H209" s="505"/>
      <c r="I209" s="505"/>
      <c r="J209" s="505"/>
      <c r="K209" s="505"/>
      <c r="L209" s="505"/>
      <c r="M209" s="506"/>
      <c r="N209" s="504"/>
      <c r="O209" s="505"/>
      <c r="P209" s="505"/>
      <c r="Q209" s="505"/>
      <c r="R209" s="505"/>
      <c r="S209" s="505"/>
      <c r="T209" s="505"/>
      <c r="U209" s="505"/>
      <c r="V209" s="505"/>
      <c r="W209" s="505"/>
      <c r="X209" s="505"/>
      <c r="Y209" s="506"/>
      <c r="Z209" s="504"/>
      <c r="AA209" s="505"/>
      <c r="AB209" s="505"/>
      <c r="AC209" s="505"/>
      <c r="AD209" s="505"/>
      <c r="AE209" s="505"/>
      <c r="AF209" s="505"/>
      <c r="AG209" s="505"/>
      <c r="AH209" s="505"/>
      <c r="AI209" s="505"/>
      <c r="AJ209" s="505"/>
      <c r="AK209" s="506"/>
      <c r="AL209" s="504"/>
      <c r="AM209" s="505"/>
      <c r="AN209" s="505"/>
      <c r="AO209" s="505"/>
      <c r="AP209" s="505"/>
      <c r="AQ209" s="505"/>
      <c r="AR209" s="505"/>
      <c r="AS209" s="505"/>
      <c r="AT209" s="505"/>
      <c r="AU209" s="505"/>
      <c r="AV209" s="505"/>
      <c r="AW209" s="506"/>
    </row>
    <row r="210" spans="1:49" s="75" customFormat="1" ht="21" customHeight="1" thickBot="1" x14ac:dyDescent="0.3">
      <c r="A210" s="515"/>
      <c r="B210" s="490" t="str">
        <f>IF(ISBLANK(B208),"",CONCATENATE(LEFT(INDEX(B$71:B$102,MATCH(LEFT(B208,11)&amp;"*",B$71:B$102,0)+2),FIND("-",INDEX(B$71:B$102,MATCH(LEFT(B208,11)&amp;"*",B$71:B$102,0)+2))),A208))</f>
        <v>L420.19.05.S7-03</v>
      </c>
      <c r="C210" s="491"/>
      <c r="D210" s="492"/>
      <c r="E210" s="364">
        <v>4</v>
      </c>
      <c r="F210" s="365" t="s">
        <v>5</v>
      </c>
      <c r="G210" s="366">
        <v>0</v>
      </c>
      <c r="H210" s="367">
        <v>0</v>
      </c>
      <c r="I210" s="367">
        <v>14</v>
      </c>
      <c r="J210" s="368">
        <v>14</v>
      </c>
      <c r="K210" s="365">
        <v>0</v>
      </c>
      <c r="L210" s="429" t="s">
        <v>54</v>
      </c>
      <c r="M210" s="187">
        <f>E210*25-G210-H210-I210-J210-K210</f>
        <v>72</v>
      </c>
      <c r="N210" s="490" t="str">
        <f>IF(ISBLANK(N208),"",CONCATENATE(LEFT(INDEX(N$71:N$102,MATCH(LEFT(N208,11)&amp;"*",N$71:N$102,0)+2),FIND("-",INDEX(N$71:N$102,MATCH(LEFT(N208,11)&amp;"*",N$71:N$102,0)+2))),$A208))</f>
        <v>L420.19.06.D5-03</v>
      </c>
      <c r="O210" s="491"/>
      <c r="P210" s="492"/>
      <c r="Q210" s="364">
        <v>4</v>
      </c>
      <c r="R210" s="365" t="s">
        <v>5</v>
      </c>
      <c r="S210" s="366">
        <v>0</v>
      </c>
      <c r="T210" s="367">
        <v>0</v>
      </c>
      <c r="U210" s="367">
        <v>28</v>
      </c>
      <c r="V210" s="368">
        <v>0</v>
      </c>
      <c r="W210" s="365">
        <v>0</v>
      </c>
      <c r="X210" s="429" t="s">
        <v>54</v>
      </c>
      <c r="Y210" s="187">
        <f>Q210*25-S210-T210-U210-V210-W210</f>
        <v>72</v>
      </c>
      <c r="Z210" s="490" t="str">
        <f>IF(ISBLANK(Z208),"",CONCATENATE(LEFT(INDEX(Z$71:Z$102,MATCH(LEFT(Z208,11)&amp;"*",Z$71:Z$102,0)+2),FIND("-",INDEX(Z$71:Z$102,MATCH(LEFT(Z208,11)&amp;"*",Z$71:Z$102,0)+2))),$A208))</f>
        <v>L420.19.07.S2-03</v>
      </c>
      <c r="AA210" s="491"/>
      <c r="AB210" s="492"/>
      <c r="AC210" s="364">
        <v>5</v>
      </c>
      <c r="AD210" s="365" t="s">
        <v>5</v>
      </c>
      <c r="AE210" s="366">
        <v>0</v>
      </c>
      <c r="AF210" s="367">
        <v>0</v>
      </c>
      <c r="AG210" s="367">
        <v>28</v>
      </c>
      <c r="AH210" s="368">
        <v>0</v>
      </c>
      <c r="AI210" s="365">
        <v>0</v>
      </c>
      <c r="AJ210" s="429" t="s">
        <v>59</v>
      </c>
      <c r="AK210" s="187">
        <f>AC210*25-AE210-AF210-AG210-AH210-AI210</f>
        <v>97</v>
      </c>
      <c r="AL210" s="490" t="str">
        <f>IF(ISBLANK(AL208),"",CONCATENATE(LEFT(INDEX(AL$71:AL$102,MATCH(LEFT(AL208,11)&amp;"*",AL$71:AL$102,0)+2),FIND("-",INDEX(AL$71:AL$102,MATCH(LEFT(AL208,11)&amp;"*",AL$71:AL$102,0)+2))),$A208))</f>
        <v>L420.19.08.S3-03</v>
      </c>
      <c r="AM210" s="491"/>
      <c r="AN210" s="492"/>
      <c r="AO210" s="364">
        <v>4</v>
      </c>
      <c r="AP210" s="365" t="s">
        <v>5</v>
      </c>
      <c r="AQ210" s="366">
        <v>0</v>
      </c>
      <c r="AR210" s="367">
        <v>0</v>
      </c>
      <c r="AS210" s="367">
        <v>14</v>
      </c>
      <c r="AT210" s="368">
        <v>0</v>
      </c>
      <c r="AU210" s="365">
        <v>0</v>
      </c>
      <c r="AV210" s="429" t="s">
        <v>59</v>
      </c>
      <c r="AW210" s="187">
        <f>AO210*25-AQ210-AR210-AS210-AT210-AU210</f>
        <v>86</v>
      </c>
    </row>
    <row r="211" spans="1:49" s="75" customFormat="1" ht="21" customHeight="1" thickTop="1" x14ac:dyDescent="0.25">
      <c r="A211" s="513" t="s">
        <v>69</v>
      </c>
      <c r="B211" s="501" t="s">
        <v>393</v>
      </c>
      <c r="C211" s="502"/>
      <c r="D211" s="502"/>
      <c r="E211" s="502"/>
      <c r="F211" s="502"/>
      <c r="G211" s="502"/>
      <c r="H211" s="502"/>
      <c r="I211" s="502"/>
      <c r="J211" s="502"/>
      <c r="K211" s="502"/>
      <c r="L211" s="502"/>
      <c r="M211" s="503"/>
      <c r="N211" s="501" t="s">
        <v>397</v>
      </c>
      <c r="O211" s="502"/>
      <c r="P211" s="502"/>
      <c r="Q211" s="502"/>
      <c r="R211" s="502"/>
      <c r="S211" s="502"/>
      <c r="T211" s="502"/>
      <c r="U211" s="502"/>
      <c r="V211" s="502"/>
      <c r="W211" s="502"/>
      <c r="X211" s="502"/>
      <c r="Y211" s="503"/>
      <c r="Z211" s="501" t="s">
        <v>417</v>
      </c>
      <c r="AA211" s="502"/>
      <c r="AB211" s="502"/>
      <c r="AC211" s="502"/>
      <c r="AD211" s="502"/>
      <c r="AE211" s="502"/>
      <c r="AF211" s="502"/>
      <c r="AG211" s="502"/>
      <c r="AH211" s="502"/>
      <c r="AI211" s="502"/>
      <c r="AJ211" s="502"/>
      <c r="AK211" s="503"/>
      <c r="AL211" s="501" t="s">
        <v>409</v>
      </c>
      <c r="AM211" s="502"/>
      <c r="AN211" s="502"/>
      <c r="AO211" s="502"/>
      <c r="AP211" s="502"/>
      <c r="AQ211" s="502"/>
      <c r="AR211" s="502"/>
      <c r="AS211" s="502"/>
      <c r="AT211" s="502"/>
      <c r="AU211" s="502"/>
      <c r="AV211" s="502"/>
      <c r="AW211" s="503"/>
    </row>
    <row r="212" spans="1:49" s="75" customFormat="1" ht="21" customHeight="1" x14ac:dyDescent="0.25">
      <c r="A212" s="514"/>
      <c r="B212" s="504"/>
      <c r="C212" s="505"/>
      <c r="D212" s="505"/>
      <c r="E212" s="505"/>
      <c r="F212" s="505"/>
      <c r="G212" s="505"/>
      <c r="H212" s="505"/>
      <c r="I212" s="505"/>
      <c r="J212" s="505"/>
      <c r="K212" s="505"/>
      <c r="L212" s="505"/>
      <c r="M212" s="506"/>
      <c r="N212" s="504"/>
      <c r="O212" s="505"/>
      <c r="P212" s="505"/>
      <c r="Q212" s="505"/>
      <c r="R212" s="505"/>
      <c r="S212" s="505"/>
      <c r="T212" s="505"/>
      <c r="U212" s="505"/>
      <c r="V212" s="505"/>
      <c r="W212" s="505"/>
      <c r="X212" s="505"/>
      <c r="Y212" s="506"/>
      <c r="Z212" s="504"/>
      <c r="AA212" s="505"/>
      <c r="AB212" s="505"/>
      <c r="AC212" s="505"/>
      <c r="AD212" s="505"/>
      <c r="AE212" s="505"/>
      <c r="AF212" s="505"/>
      <c r="AG212" s="505"/>
      <c r="AH212" s="505"/>
      <c r="AI212" s="505"/>
      <c r="AJ212" s="505"/>
      <c r="AK212" s="506"/>
      <c r="AL212" s="504"/>
      <c r="AM212" s="505"/>
      <c r="AN212" s="505"/>
      <c r="AO212" s="505"/>
      <c r="AP212" s="505"/>
      <c r="AQ212" s="505"/>
      <c r="AR212" s="505"/>
      <c r="AS212" s="505"/>
      <c r="AT212" s="505"/>
      <c r="AU212" s="505"/>
      <c r="AV212" s="505"/>
      <c r="AW212" s="506"/>
    </row>
    <row r="213" spans="1:49" s="75" customFormat="1" ht="21" customHeight="1" thickBot="1" x14ac:dyDescent="0.3">
      <c r="A213" s="515"/>
      <c r="B213" s="490" t="str">
        <f>IF(ISBLANK(B211),"",CONCATENATE(LEFT(INDEX(B$71:B$102,MATCH(LEFT(B211,11)&amp;"*",B$71:B$102,0)+2),FIND("-",INDEX(B$71:B$102,MATCH(LEFT(B211,11)&amp;"*",B$71:B$102,0)+2))),A211))</f>
        <v>L420.19.05.S7-04</v>
      </c>
      <c r="C213" s="491"/>
      <c r="D213" s="492"/>
      <c r="E213" s="364">
        <v>4</v>
      </c>
      <c r="F213" s="365" t="s">
        <v>5</v>
      </c>
      <c r="G213" s="366">
        <v>0</v>
      </c>
      <c r="H213" s="367">
        <v>0</v>
      </c>
      <c r="I213" s="367">
        <v>14</v>
      </c>
      <c r="J213" s="368">
        <v>14</v>
      </c>
      <c r="K213" s="365">
        <v>0</v>
      </c>
      <c r="L213" s="429" t="s">
        <v>54</v>
      </c>
      <c r="M213" s="187">
        <f>E213*25-G213-H213-I213-J213-K213</f>
        <v>72</v>
      </c>
      <c r="N213" s="490" t="str">
        <f>IF(ISBLANK(N211),"",CONCATENATE(LEFT(INDEX(N$71:N$102,MATCH(LEFT(N211,11)&amp;"*",N$71:N$102,0)+2),FIND("-",INDEX(N$71:N$102,MATCH(LEFT(N211,11)&amp;"*",N$71:N$102,0)+2))),$A211))</f>
        <v>L420.19.06.D5-04</v>
      </c>
      <c r="O213" s="491"/>
      <c r="P213" s="492"/>
      <c r="Q213" s="364">
        <v>4</v>
      </c>
      <c r="R213" s="365" t="s">
        <v>5</v>
      </c>
      <c r="S213" s="366">
        <v>0</v>
      </c>
      <c r="T213" s="367">
        <v>0</v>
      </c>
      <c r="U213" s="367">
        <v>28</v>
      </c>
      <c r="V213" s="368">
        <v>0</v>
      </c>
      <c r="W213" s="365">
        <v>0</v>
      </c>
      <c r="X213" s="429" t="s">
        <v>54</v>
      </c>
      <c r="Y213" s="187">
        <f>Q213*25-S213-T213-U213-V213-W213</f>
        <v>72</v>
      </c>
      <c r="Z213" s="490" t="str">
        <f>IF(ISBLANK(Z211),"",CONCATENATE(LEFT(INDEX(Z$71:Z$102,MATCH(LEFT(Z211,11)&amp;"*",Z$71:Z$102,0)+2),FIND("-",INDEX(Z$71:Z$102,MATCH(LEFT(Z211,11)&amp;"*",Z$71:Z$102,0)+2))),$A211))</f>
        <v>L420.19.07.S2-04</v>
      </c>
      <c r="AA213" s="491"/>
      <c r="AB213" s="492"/>
      <c r="AC213" s="364">
        <v>5</v>
      </c>
      <c r="AD213" s="365" t="s">
        <v>5</v>
      </c>
      <c r="AE213" s="366">
        <v>0</v>
      </c>
      <c r="AF213" s="367">
        <v>0</v>
      </c>
      <c r="AG213" s="367">
        <v>28</v>
      </c>
      <c r="AH213" s="368">
        <v>0</v>
      </c>
      <c r="AI213" s="365">
        <v>0</v>
      </c>
      <c r="AJ213" s="429" t="s">
        <v>59</v>
      </c>
      <c r="AK213" s="187">
        <f>AC213*25-AE213-AF213-AG213-AH213-AI213</f>
        <v>97</v>
      </c>
      <c r="AL213" s="490" t="str">
        <f>IF(ISBLANK(AL211),"",CONCATENATE(LEFT(INDEX(AL$71:AL$102,MATCH(LEFT(AL211,11)&amp;"*",AL$71:AL$102,0)+2),FIND("-",INDEX(AL$71:AL$102,MATCH(LEFT(AL211,11)&amp;"*",AL$71:AL$102,0)+2))),$A211))</f>
        <v>L420.19.08.S4-04</v>
      </c>
      <c r="AM213" s="491"/>
      <c r="AN213" s="492"/>
      <c r="AO213" s="364">
        <v>3</v>
      </c>
      <c r="AP213" s="365" t="s">
        <v>5</v>
      </c>
      <c r="AQ213" s="366">
        <v>0</v>
      </c>
      <c r="AR213" s="367">
        <v>0</v>
      </c>
      <c r="AS213" s="367">
        <v>0</v>
      </c>
      <c r="AT213" s="368">
        <v>14</v>
      </c>
      <c r="AU213" s="365">
        <v>0</v>
      </c>
      <c r="AV213" s="429" t="s">
        <v>59</v>
      </c>
      <c r="AW213" s="187">
        <f>AO213*25-AQ213-AR213-AS213-AT213-AU213</f>
        <v>61</v>
      </c>
    </row>
    <row r="214" spans="1:49" s="75" customFormat="1" ht="21" customHeight="1" thickTop="1" x14ac:dyDescent="0.25">
      <c r="A214" s="513" t="s">
        <v>83</v>
      </c>
      <c r="B214" s="501"/>
      <c r="C214" s="502"/>
      <c r="D214" s="502"/>
      <c r="E214" s="502"/>
      <c r="F214" s="502"/>
      <c r="G214" s="502"/>
      <c r="H214" s="502"/>
      <c r="I214" s="502"/>
      <c r="J214" s="502"/>
      <c r="K214" s="502"/>
      <c r="L214" s="502"/>
      <c r="M214" s="503"/>
      <c r="N214" s="501" t="s">
        <v>398</v>
      </c>
      <c r="O214" s="502"/>
      <c r="P214" s="502"/>
      <c r="Q214" s="502"/>
      <c r="R214" s="502"/>
      <c r="S214" s="502"/>
      <c r="T214" s="502"/>
      <c r="U214" s="502"/>
      <c r="V214" s="502"/>
      <c r="W214" s="502"/>
      <c r="X214" s="502"/>
      <c r="Y214" s="503"/>
      <c r="Z214" s="501" t="s">
        <v>418</v>
      </c>
      <c r="AA214" s="502"/>
      <c r="AB214" s="502"/>
      <c r="AC214" s="502"/>
      <c r="AD214" s="502"/>
      <c r="AE214" s="502"/>
      <c r="AF214" s="502"/>
      <c r="AG214" s="502"/>
      <c r="AH214" s="502"/>
      <c r="AI214" s="502"/>
      <c r="AJ214" s="502"/>
      <c r="AK214" s="503"/>
      <c r="AL214" s="501" t="s">
        <v>410</v>
      </c>
      <c r="AM214" s="502"/>
      <c r="AN214" s="502"/>
      <c r="AO214" s="502"/>
      <c r="AP214" s="502"/>
      <c r="AQ214" s="502"/>
      <c r="AR214" s="502"/>
      <c r="AS214" s="502"/>
      <c r="AT214" s="502"/>
      <c r="AU214" s="502"/>
      <c r="AV214" s="502"/>
      <c r="AW214" s="503"/>
    </row>
    <row r="215" spans="1:49" s="75" customFormat="1" ht="21" customHeight="1" x14ac:dyDescent="0.25">
      <c r="A215" s="514"/>
      <c r="B215" s="504"/>
      <c r="C215" s="505"/>
      <c r="D215" s="505"/>
      <c r="E215" s="505"/>
      <c r="F215" s="505"/>
      <c r="G215" s="505"/>
      <c r="H215" s="505"/>
      <c r="I215" s="505"/>
      <c r="J215" s="505"/>
      <c r="K215" s="505"/>
      <c r="L215" s="505"/>
      <c r="M215" s="506"/>
      <c r="N215" s="504"/>
      <c r="O215" s="505"/>
      <c r="P215" s="505"/>
      <c r="Q215" s="505"/>
      <c r="R215" s="505"/>
      <c r="S215" s="505"/>
      <c r="T215" s="505"/>
      <c r="U215" s="505"/>
      <c r="V215" s="505"/>
      <c r="W215" s="505"/>
      <c r="X215" s="505"/>
      <c r="Y215" s="506"/>
      <c r="Z215" s="504"/>
      <c r="AA215" s="505"/>
      <c r="AB215" s="505"/>
      <c r="AC215" s="505"/>
      <c r="AD215" s="505"/>
      <c r="AE215" s="505"/>
      <c r="AF215" s="505"/>
      <c r="AG215" s="505"/>
      <c r="AH215" s="505"/>
      <c r="AI215" s="505"/>
      <c r="AJ215" s="505"/>
      <c r="AK215" s="506"/>
      <c r="AL215" s="504"/>
      <c r="AM215" s="505"/>
      <c r="AN215" s="505"/>
      <c r="AO215" s="505"/>
      <c r="AP215" s="505"/>
      <c r="AQ215" s="505"/>
      <c r="AR215" s="505"/>
      <c r="AS215" s="505"/>
      <c r="AT215" s="505"/>
      <c r="AU215" s="505"/>
      <c r="AV215" s="505"/>
      <c r="AW215" s="506"/>
    </row>
    <row r="216" spans="1:49" s="75" customFormat="1" ht="21" customHeight="1" thickBot="1" x14ac:dyDescent="0.3">
      <c r="A216" s="515"/>
      <c r="B216" s="490" t="str">
        <f>IF(ISBLANK(B214),"",CONCATENATE(LEFT(INDEX(B$71:B$102,MATCH(LEFT(B214,11)&amp;"*",B$71:B$102,0)+2),FIND("-",INDEX(B$71:B$102,MATCH(LEFT(B214,11)&amp;"*",B$71:B$102,0)+2))),A214))</f>
        <v/>
      </c>
      <c r="C216" s="491"/>
      <c r="D216" s="492"/>
      <c r="E216" s="305"/>
      <c r="F216" s="210"/>
      <c r="G216" s="205"/>
      <c r="H216" s="207"/>
      <c r="I216" s="207"/>
      <c r="J216" s="206"/>
      <c r="K216" s="209"/>
      <c r="L216" s="187"/>
      <c r="M216" s="187"/>
      <c r="N216" s="490" t="str">
        <f>IF(ISBLANK(N214),"",CONCATENATE(LEFT(INDEX(N$71:N$102,MATCH(LEFT(N214,11)&amp;"*",N$71:N$102,0)+2),FIND("-",INDEX(N$71:N$102,MATCH(LEFT(N214,11)&amp;"*",N$71:N$102,0)+2))),$A214))</f>
        <v>L420.19.06.D6-05</v>
      </c>
      <c r="O216" s="491"/>
      <c r="P216" s="492"/>
      <c r="Q216" s="364">
        <v>4</v>
      </c>
      <c r="R216" s="365" t="s">
        <v>5</v>
      </c>
      <c r="S216" s="366">
        <v>0</v>
      </c>
      <c r="T216" s="367">
        <v>0</v>
      </c>
      <c r="U216" s="367">
        <v>28</v>
      </c>
      <c r="V216" s="368">
        <v>0</v>
      </c>
      <c r="W216" s="365">
        <v>0</v>
      </c>
      <c r="X216" s="429" t="s">
        <v>54</v>
      </c>
      <c r="Y216" s="187">
        <f>Q216*25-S216-T216-U216-V216-W216</f>
        <v>72</v>
      </c>
      <c r="Z216" s="490" t="str">
        <f>IF(ISBLANK(Z214),"",CONCATENATE(LEFT(INDEX(Z$71:Z$102,MATCH(LEFT(Z214,11)&amp;"*",Z$71:Z$102,0)+2),FIND("-",INDEX(Z$71:Z$102,MATCH(LEFT(Z214,11)&amp;"*",Z$71:Z$102,0)+2))),$A214))</f>
        <v>L420.19.07.S3-05</v>
      </c>
      <c r="AA216" s="491"/>
      <c r="AB216" s="492"/>
      <c r="AC216" s="364">
        <v>4</v>
      </c>
      <c r="AD216" s="365" t="s">
        <v>295</v>
      </c>
      <c r="AE216" s="366">
        <v>0</v>
      </c>
      <c r="AF216" s="367">
        <v>0</v>
      </c>
      <c r="AG216" s="367">
        <v>7</v>
      </c>
      <c r="AH216" s="368">
        <v>21</v>
      </c>
      <c r="AI216" s="365">
        <v>0</v>
      </c>
      <c r="AJ216" s="429" t="s">
        <v>59</v>
      </c>
      <c r="AK216" s="187">
        <f>AC216*25-AE216-AF216-AG216-AH216-AI216</f>
        <v>72</v>
      </c>
      <c r="AL216" s="490" t="str">
        <f>IF(ISBLANK(AL214),"",CONCATENATE(LEFT(INDEX(AL$71:AL$102,MATCH(LEFT(AL214,11)&amp;"*",AL$71:AL$102,0)+2),FIND("-",INDEX(AL$71:AL$102,MATCH(LEFT(AL214,11)&amp;"*",AL$71:AL$102,0)+2))),$A214))</f>
        <v>L420.19.08.S1-05</v>
      </c>
      <c r="AM216" s="491"/>
      <c r="AN216" s="492"/>
      <c r="AO216" s="364">
        <v>4</v>
      </c>
      <c r="AP216" s="365" t="s">
        <v>5</v>
      </c>
      <c r="AQ216" s="366">
        <v>0</v>
      </c>
      <c r="AR216" s="367">
        <v>0</v>
      </c>
      <c r="AS216" s="367">
        <v>28</v>
      </c>
      <c r="AT216" s="368">
        <v>0</v>
      </c>
      <c r="AU216" s="365">
        <v>0</v>
      </c>
      <c r="AV216" s="429" t="s">
        <v>59</v>
      </c>
      <c r="AW216" s="187">
        <f>AO216*25-AQ216-AR216-AS216-AT216-AU216</f>
        <v>72</v>
      </c>
    </row>
    <row r="217" spans="1:49" s="75" customFormat="1" ht="21" customHeight="1" thickTop="1" x14ac:dyDescent="0.25">
      <c r="A217" s="513" t="s">
        <v>84</v>
      </c>
      <c r="B217" s="501"/>
      <c r="C217" s="502"/>
      <c r="D217" s="502"/>
      <c r="E217" s="502"/>
      <c r="F217" s="502"/>
      <c r="G217" s="502"/>
      <c r="H217" s="502"/>
      <c r="I217" s="502"/>
      <c r="J217" s="502"/>
      <c r="K217" s="502"/>
      <c r="L217" s="502"/>
      <c r="M217" s="503"/>
      <c r="N217" s="501" t="s">
        <v>399</v>
      </c>
      <c r="O217" s="502"/>
      <c r="P217" s="502"/>
      <c r="Q217" s="502"/>
      <c r="R217" s="502"/>
      <c r="S217" s="502"/>
      <c r="T217" s="502"/>
      <c r="U217" s="502"/>
      <c r="V217" s="502"/>
      <c r="W217" s="502"/>
      <c r="X217" s="502"/>
      <c r="Y217" s="503"/>
      <c r="Z217" s="501" t="s">
        <v>419</v>
      </c>
      <c r="AA217" s="502"/>
      <c r="AB217" s="502"/>
      <c r="AC217" s="502"/>
      <c r="AD217" s="502"/>
      <c r="AE217" s="502"/>
      <c r="AF217" s="502"/>
      <c r="AG217" s="502"/>
      <c r="AH217" s="502"/>
      <c r="AI217" s="502"/>
      <c r="AJ217" s="502"/>
      <c r="AK217" s="503"/>
      <c r="AL217" s="501" t="s">
        <v>411</v>
      </c>
      <c r="AM217" s="502"/>
      <c r="AN217" s="502"/>
      <c r="AO217" s="502"/>
      <c r="AP217" s="502"/>
      <c r="AQ217" s="502"/>
      <c r="AR217" s="502"/>
      <c r="AS217" s="502"/>
      <c r="AT217" s="502"/>
      <c r="AU217" s="502"/>
      <c r="AV217" s="502"/>
      <c r="AW217" s="503"/>
    </row>
    <row r="218" spans="1:49" s="75" customFormat="1" ht="21" customHeight="1" x14ac:dyDescent="0.25">
      <c r="A218" s="514"/>
      <c r="B218" s="504"/>
      <c r="C218" s="505"/>
      <c r="D218" s="505"/>
      <c r="E218" s="505"/>
      <c r="F218" s="505"/>
      <c r="G218" s="505"/>
      <c r="H218" s="505"/>
      <c r="I218" s="505"/>
      <c r="J218" s="505"/>
      <c r="K218" s="505"/>
      <c r="L218" s="505"/>
      <c r="M218" s="506"/>
      <c r="N218" s="504"/>
      <c r="O218" s="505"/>
      <c r="P218" s="505"/>
      <c r="Q218" s="505"/>
      <c r="R218" s="505"/>
      <c r="S218" s="505"/>
      <c r="T218" s="505"/>
      <c r="U218" s="505"/>
      <c r="V218" s="505"/>
      <c r="W218" s="505"/>
      <c r="X218" s="505"/>
      <c r="Y218" s="506"/>
      <c r="Z218" s="504"/>
      <c r="AA218" s="505"/>
      <c r="AB218" s="505"/>
      <c r="AC218" s="505"/>
      <c r="AD218" s="505"/>
      <c r="AE218" s="505"/>
      <c r="AF218" s="505"/>
      <c r="AG218" s="505"/>
      <c r="AH218" s="505"/>
      <c r="AI218" s="505"/>
      <c r="AJ218" s="505"/>
      <c r="AK218" s="506"/>
      <c r="AL218" s="504"/>
      <c r="AM218" s="505"/>
      <c r="AN218" s="505"/>
      <c r="AO218" s="505"/>
      <c r="AP218" s="505"/>
      <c r="AQ218" s="505"/>
      <c r="AR218" s="505"/>
      <c r="AS218" s="505"/>
      <c r="AT218" s="505"/>
      <c r="AU218" s="505"/>
      <c r="AV218" s="505"/>
      <c r="AW218" s="506"/>
    </row>
    <row r="219" spans="1:49" s="75" customFormat="1" ht="21" customHeight="1" thickBot="1" x14ac:dyDescent="0.3">
      <c r="A219" s="515"/>
      <c r="B219" s="490" t="str">
        <f>IF(ISBLANK(B217),"",CONCATENATE(LEFT(INDEX(B$71:B$102,MATCH(LEFT(B217,11)&amp;"*",B$71:B$102,0)+2),FIND("-",INDEX(B$71:B$102,MATCH(LEFT(B217,11)&amp;"*",B$71:B$102,0)+2))),A217))</f>
        <v/>
      </c>
      <c r="C219" s="491"/>
      <c r="D219" s="492"/>
      <c r="E219" s="193"/>
      <c r="F219" s="203"/>
      <c r="G219" s="195"/>
      <c r="H219" s="196"/>
      <c r="I219" s="196"/>
      <c r="J219" s="197"/>
      <c r="K219" s="198"/>
      <c r="L219" s="198"/>
      <c r="M219" s="198"/>
      <c r="N219" s="490" t="str">
        <f>IF(ISBLANK(N217),"",CONCATENATE(LEFT(INDEX(N$71:N$102,MATCH(LEFT(N217,11)&amp;"*",N$71:N$102,0)+2),FIND("-",INDEX(N$71:N$102,MATCH(LEFT(N217,11)&amp;"*",N$71:N$102,0)+2))),$A217))</f>
        <v>L420.19.06.D6-06</v>
      </c>
      <c r="O219" s="491"/>
      <c r="P219" s="492"/>
      <c r="Q219" s="364">
        <v>4</v>
      </c>
      <c r="R219" s="365" t="s">
        <v>5</v>
      </c>
      <c r="S219" s="366">
        <v>0</v>
      </c>
      <c r="T219" s="367">
        <v>0</v>
      </c>
      <c r="U219" s="367">
        <v>28</v>
      </c>
      <c r="V219" s="368">
        <v>0</v>
      </c>
      <c r="W219" s="365">
        <v>0</v>
      </c>
      <c r="X219" s="429" t="s">
        <v>54</v>
      </c>
      <c r="Y219" s="187">
        <f>Q219*25-S219-T219-U219-V219-W219</f>
        <v>72</v>
      </c>
      <c r="Z219" s="490" t="str">
        <f>IF(ISBLANK(Z217),"",CONCATENATE(LEFT(INDEX(Z$71:Z$102,MATCH(LEFT(Z217,11)&amp;"*",Z$71:Z$102,0)+2),FIND("-",INDEX(Z$71:Z$102,MATCH(LEFT(Z217,11)&amp;"*",Z$71:Z$102,0)+2))),$A217))</f>
        <v>L420.19.07.S3-06</v>
      </c>
      <c r="AA219" s="491"/>
      <c r="AB219" s="492"/>
      <c r="AC219" s="364">
        <v>4</v>
      </c>
      <c r="AD219" s="365" t="s">
        <v>295</v>
      </c>
      <c r="AE219" s="366">
        <v>0</v>
      </c>
      <c r="AF219" s="367">
        <v>0</v>
      </c>
      <c r="AG219" s="367">
        <v>7</v>
      </c>
      <c r="AH219" s="368">
        <v>21</v>
      </c>
      <c r="AI219" s="365">
        <v>0</v>
      </c>
      <c r="AJ219" s="429" t="s">
        <v>59</v>
      </c>
      <c r="AK219" s="187">
        <f>AC219*25-AE219-AF219-AG219-AH219-AI219</f>
        <v>72</v>
      </c>
      <c r="AL219" s="490" t="str">
        <f>IF(ISBLANK(AL217),"",CONCATENATE(LEFT(INDEX(AL$71:AL$102,MATCH(LEFT(AL217,11)&amp;"*",AL$71:AL$102,0)+2),FIND("-",INDEX(AL$71:AL$102,MATCH(LEFT(AL217,11)&amp;"*",AL$71:AL$102,0)+2))),$A217))</f>
        <v>L420.19.08.S2-06</v>
      </c>
      <c r="AM219" s="491"/>
      <c r="AN219" s="492"/>
      <c r="AO219" s="364">
        <v>4</v>
      </c>
      <c r="AP219" s="365" t="s">
        <v>5</v>
      </c>
      <c r="AQ219" s="366">
        <v>0</v>
      </c>
      <c r="AR219" s="367">
        <v>0</v>
      </c>
      <c r="AS219" s="367">
        <v>28</v>
      </c>
      <c r="AT219" s="368">
        <v>0</v>
      </c>
      <c r="AU219" s="365">
        <v>0</v>
      </c>
      <c r="AV219" s="429" t="s">
        <v>59</v>
      </c>
      <c r="AW219" s="187">
        <f>AO219*25-AQ219-AR219-AS219-AT219-AU219</f>
        <v>72</v>
      </c>
    </row>
    <row r="220" spans="1:49" s="75" customFormat="1" ht="21" customHeight="1" thickTop="1" x14ac:dyDescent="0.25">
      <c r="A220" s="513" t="s">
        <v>85</v>
      </c>
      <c r="B220" s="501"/>
      <c r="C220" s="502"/>
      <c r="D220" s="502"/>
      <c r="E220" s="502"/>
      <c r="F220" s="502"/>
      <c r="G220" s="502"/>
      <c r="H220" s="502"/>
      <c r="I220" s="502"/>
      <c r="J220" s="502"/>
      <c r="K220" s="502"/>
      <c r="L220" s="502"/>
      <c r="M220" s="503"/>
      <c r="N220" s="501" t="s">
        <v>400</v>
      </c>
      <c r="O220" s="502"/>
      <c r="P220" s="502"/>
      <c r="Q220" s="502"/>
      <c r="R220" s="502"/>
      <c r="S220" s="502"/>
      <c r="T220" s="502"/>
      <c r="U220" s="502"/>
      <c r="V220" s="502"/>
      <c r="W220" s="502"/>
      <c r="X220" s="502"/>
      <c r="Y220" s="503"/>
      <c r="Z220" s="501" t="s">
        <v>420</v>
      </c>
      <c r="AA220" s="502"/>
      <c r="AB220" s="502"/>
      <c r="AC220" s="502"/>
      <c r="AD220" s="502"/>
      <c r="AE220" s="502"/>
      <c r="AF220" s="502"/>
      <c r="AG220" s="502"/>
      <c r="AH220" s="502"/>
      <c r="AI220" s="502"/>
      <c r="AJ220" s="502"/>
      <c r="AK220" s="503"/>
      <c r="AL220" s="501" t="s">
        <v>412</v>
      </c>
      <c r="AM220" s="502"/>
      <c r="AN220" s="502"/>
      <c r="AO220" s="502"/>
      <c r="AP220" s="502"/>
      <c r="AQ220" s="502"/>
      <c r="AR220" s="502"/>
      <c r="AS220" s="502"/>
      <c r="AT220" s="502"/>
      <c r="AU220" s="502"/>
      <c r="AV220" s="502"/>
      <c r="AW220" s="503"/>
    </row>
    <row r="221" spans="1:49" s="75" customFormat="1" ht="21" customHeight="1" x14ac:dyDescent="0.25">
      <c r="A221" s="514"/>
      <c r="B221" s="504"/>
      <c r="C221" s="505"/>
      <c r="D221" s="505"/>
      <c r="E221" s="505"/>
      <c r="F221" s="505"/>
      <c r="G221" s="505"/>
      <c r="H221" s="505"/>
      <c r="I221" s="505"/>
      <c r="J221" s="505"/>
      <c r="K221" s="505"/>
      <c r="L221" s="505"/>
      <c r="M221" s="506"/>
      <c r="N221" s="504"/>
      <c r="O221" s="505"/>
      <c r="P221" s="505"/>
      <c r="Q221" s="505"/>
      <c r="R221" s="505"/>
      <c r="S221" s="505"/>
      <c r="T221" s="505"/>
      <c r="U221" s="505"/>
      <c r="V221" s="505"/>
      <c r="W221" s="505"/>
      <c r="X221" s="505"/>
      <c r="Y221" s="506"/>
      <c r="Z221" s="504"/>
      <c r="AA221" s="505"/>
      <c r="AB221" s="505"/>
      <c r="AC221" s="505"/>
      <c r="AD221" s="505"/>
      <c r="AE221" s="505"/>
      <c r="AF221" s="505"/>
      <c r="AG221" s="505"/>
      <c r="AH221" s="505"/>
      <c r="AI221" s="505"/>
      <c r="AJ221" s="505"/>
      <c r="AK221" s="506"/>
      <c r="AL221" s="504"/>
      <c r="AM221" s="505"/>
      <c r="AN221" s="505"/>
      <c r="AO221" s="505"/>
      <c r="AP221" s="505"/>
      <c r="AQ221" s="505"/>
      <c r="AR221" s="505"/>
      <c r="AS221" s="505"/>
      <c r="AT221" s="505"/>
      <c r="AU221" s="505"/>
      <c r="AV221" s="505"/>
      <c r="AW221" s="506"/>
    </row>
    <row r="222" spans="1:49" s="75" customFormat="1" ht="21" customHeight="1" thickBot="1" x14ac:dyDescent="0.3">
      <c r="A222" s="515"/>
      <c r="B222" s="490" t="str">
        <f>IF(ISBLANK(B220),"",CONCATENATE(LEFT(INDEX(B$71:B$102,MATCH(LEFT(B220,11)&amp;"*",B$71:B$102,0)+2),FIND("-",INDEX(B$71:B$102,MATCH(LEFT(B220,11)&amp;"*",B$71:B$102,0)+2))),A220))</f>
        <v/>
      </c>
      <c r="C222" s="491"/>
      <c r="D222" s="492"/>
      <c r="E222" s="193"/>
      <c r="F222" s="203"/>
      <c r="G222" s="195"/>
      <c r="H222" s="196"/>
      <c r="I222" s="196"/>
      <c r="J222" s="197"/>
      <c r="K222" s="198"/>
      <c r="L222" s="198"/>
      <c r="M222" s="198"/>
      <c r="N222" s="490" t="str">
        <f>IF(ISBLANK(N220),"",CONCATENATE(LEFT(INDEX(N$71:N$102,MATCH(LEFT(N220,11)&amp;"*",N$71:N$102,0)+2),FIND("-",INDEX(N$71:N$102,MATCH(LEFT(N220,11)&amp;"*",N$71:N$102,0)+2))),$A220))</f>
        <v>L420.19.06.S7-07</v>
      </c>
      <c r="O222" s="491"/>
      <c r="P222" s="492"/>
      <c r="Q222" s="364">
        <v>4</v>
      </c>
      <c r="R222" s="365" t="s">
        <v>5</v>
      </c>
      <c r="S222" s="366">
        <v>0</v>
      </c>
      <c r="T222" s="367">
        <v>0</v>
      </c>
      <c r="U222" s="367">
        <v>28</v>
      </c>
      <c r="V222" s="368">
        <v>0</v>
      </c>
      <c r="W222" s="365">
        <v>0</v>
      </c>
      <c r="X222" s="429" t="s">
        <v>59</v>
      </c>
      <c r="Y222" s="187">
        <f>Q222*25-S222-T222-U222-V222-W222</f>
        <v>72</v>
      </c>
      <c r="Z222" s="490" t="str">
        <f>IF(ISBLANK(Z220),"",CONCATENATE(LEFT(INDEX(Z$71:Z$102,MATCH(LEFT(Z220,11)&amp;"*",Z$71:Z$102,0)+2),FIND("-",INDEX(Z$71:Z$102,MATCH(LEFT(Z220,11)&amp;"*",Z$71:Z$102,0)+2))),$A220))</f>
        <v>L420.19.07.S4-07</v>
      </c>
      <c r="AA222" s="491"/>
      <c r="AB222" s="492"/>
      <c r="AC222" s="364">
        <v>5</v>
      </c>
      <c r="AD222" s="365" t="s">
        <v>5</v>
      </c>
      <c r="AE222" s="366">
        <v>0</v>
      </c>
      <c r="AF222" s="367">
        <v>0</v>
      </c>
      <c r="AG222" s="367">
        <v>14</v>
      </c>
      <c r="AH222" s="368">
        <v>14</v>
      </c>
      <c r="AI222" s="365">
        <v>0</v>
      </c>
      <c r="AJ222" s="429" t="s">
        <v>59</v>
      </c>
      <c r="AK222" s="187">
        <f>AC222*25-AE222-AF222-AG222-AH222-AI222</f>
        <v>97</v>
      </c>
      <c r="AL222" s="490" t="str">
        <f>IF(ISBLANK(AL220),"",CONCATENATE(LEFT(INDEX(AL$71:AL$102,MATCH(LEFT(AL220,11)&amp;"*",AL$71:AL$102,0)+2),FIND("-",INDEX(AL$71:AL$102,MATCH(LEFT(AL220,11)&amp;"*",AL$71:AL$102,0)+2))),$A220))</f>
        <v>L420.19.08.S3-07</v>
      </c>
      <c r="AM222" s="491"/>
      <c r="AN222" s="492"/>
      <c r="AO222" s="364">
        <v>4</v>
      </c>
      <c r="AP222" s="365" t="s">
        <v>5</v>
      </c>
      <c r="AQ222" s="366">
        <v>0</v>
      </c>
      <c r="AR222" s="367">
        <v>0</v>
      </c>
      <c r="AS222" s="367">
        <v>14</v>
      </c>
      <c r="AT222" s="368">
        <v>0</v>
      </c>
      <c r="AU222" s="365">
        <v>0</v>
      </c>
      <c r="AV222" s="429" t="s">
        <v>59</v>
      </c>
      <c r="AW222" s="187">
        <f>AO222*25-AQ222-AR222-AS222-AT222-AU222</f>
        <v>86</v>
      </c>
    </row>
    <row r="223" spans="1:49" s="75" customFormat="1" ht="21" customHeight="1" thickTop="1" x14ac:dyDescent="0.25">
      <c r="A223" s="513" t="s">
        <v>86</v>
      </c>
      <c r="B223" s="501"/>
      <c r="C223" s="502"/>
      <c r="D223" s="502"/>
      <c r="E223" s="502"/>
      <c r="F223" s="502"/>
      <c r="G223" s="502"/>
      <c r="H223" s="502"/>
      <c r="I223" s="502"/>
      <c r="J223" s="502"/>
      <c r="K223" s="502"/>
      <c r="L223" s="502"/>
      <c r="M223" s="503"/>
      <c r="N223" s="501" t="s">
        <v>401</v>
      </c>
      <c r="O223" s="502"/>
      <c r="P223" s="502"/>
      <c r="Q223" s="502"/>
      <c r="R223" s="502"/>
      <c r="S223" s="502"/>
      <c r="T223" s="502"/>
      <c r="U223" s="502"/>
      <c r="V223" s="502"/>
      <c r="W223" s="502"/>
      <c r="X223" s="502"/>
      <c r="Y223" s="503"/>
      <c r="Z223" s="501" t="s">
        <v>421</v>
      </c>
      <c r="AA223" s="502"/>
      <c r="AB223" s="502"/>
      <c r="AC223" s="502"/>
      <c r="AD223" s="502"/>
      <c r="AE223" s="502"/>
      <c r="AF223" s="502"/>
      <c r="AG223" s="502"/>
      <c r="AH223" s="502"/>
      <c r="AI223" s="502"/>
      <c r="AJ223" s="502"/>
      <c r="AK223" s="503"/>
      <c r="AL223" s="501" t="s">
        <v>413</v>
      </c>
      <c r="AM223" s="502"/>
      <c r="AN223" s="502"/>
      <c r="AO223" s="502"/>
      <c r="AP223" s="502"/>
      <c r="AQ223" s="502"/>
      <c r="AR223" s="502"/>
      <c r="AS223" s="502"/>
      <c r="AT223" s="502"/>
      <c r="AU223" s="502"/>
      <c r="AV223" s="502"/>
      <c r="AW223" s="503"/>
    </row>
    <row r="224" spans="1:49" s="75" customFormat="1" ht="21" customHeight="1" x14ac:dyDescent="0.25">
      <c r="A224" s="514"/>
      <c r="B224" s="504"/>
      <c r="C224" s="505"/>
      <c r="D224" s="505"/>
      <c r="E224" s="505"/>
      <c r="F224" s="505"/>
      <c r="G224" s="505"/>
      <c r="H224" s="505"/>
      <c r="I224" s="505"/>
      <c r="J224" s="505"/>
      <c r="K224" s="505"/>
      <c r="L224" s="505"/>
      <c r="M224" s="506"/>
      <c r="N224" s="504"/>
      <c r="O224" s="505"/>
      <c r="P224" s="505"/>
      <c r="Q224" s="505"/>
      <c r="R224" s="505"/>
      <c r="S224" s="505"/>
      <c r="T224" s="505"/>
      <c r="U224" s="505"/>
      <c r="V224" s="505"/>
      <c r="W224" s="505"/>
      <c r="X224" s="505"/>
      <c r="Y224" s="506"/>
      <c r="Z224" s="504"/>
      <c r="AA224" s="505"/>
      <c r="AB224" s="505"/>
      <c r="AC224" s="505"/>
      <c r="AD224" s="505"/>
      <c r="AE224" s="505"/>
      <c r="AF224" s="505"/>
      <c r="AG224" s="505"/>
      <c r="AH224" s="505"/>
      <c r="AI224" s="505"/>
      <c r="AJ224" s="505"/>
      <c r="AK224" s="506"/>
      <c r="AL224" s="504"/>
      <c r="AM224" s="505"/>
      <c r="AN224" s="505"/>
      <c r="AO224" s="505"/>
      <c r="AP224" s="505"/>
      <c r="AQ224" s="505"/>
      <c r="AR224" s="505"/>
      <c r="AS224" s="505"/>
      <c r="AT224" s="505"/>
      <c r="AU224" s="505"/>
      <c r="AV224" s="505"/>
      <c r="AW224" s="506"/>
    </row>
    <row r="225" spans="1:49" s="75" customFormat="1" ht="21" customHeight="1" thickBot="1" x14ac:dyDescent="0.3">
      <c r="A225" s="515"/>
      <c r="B225" s="490" t="str">
        <f>IF(ISBLANK(B223),"",CONCATENATE(LEFT(INDEX(B$71:B$102,MATCH(LEFT(B223,11)&amp;"*",B$71:B$102,0)+2),FIND("-",INDEX(B$71:B$102,MATCH(LEFT(B223,11)&amp;"*",B$71:B$102,0)+2))),A223))</f>
        <v/>
      </c>
      <c r="C225" s="491"/>
      <c r="D225" s="492"/>
      <c r="E225" s="193"/>
      <c r="F225" s="203"/>
      <c r="G225" s="195"/>
      <c r="H225" s="196"/>
      <c r="I225" s="196"/>
      <c r="J225" s="197"/>
      <c r="K225" s="198"/>
      <c r="L225" s="198"/>
      <c r="M225" s="198"/>
      <c r="N225" s="490" t="str">
        <f>IF(ISBLANK(N223),"",CONCATENATE(LEFT(INDEX(N$71:N$102,MATCH(LEFT(N223,11)&amp;"*",N$71:N$102,0)+2),FIND("-",INDEX(N$71:N$102,MATCH(LEFT(N223,11)&amp;"*",N$71:N$102,0)+2))),$A223))</f>
        <v>L420.19.06.S7-08</v>
      </c>
      <c r="O225" s="491"/>
      <c r="P225" s="492"/>
      <c r="Q225" s="364">
        <v>4</v>
      </c>
      <c r="R225" s="365" t="s">
        <v>5</v>
      </c>
      <c r="S225" s="366">
        <v>0</v>
      </c>
      <c r="T225" s="367">
        <v>0</v>
      </c>
      <c r="U225" s="367">
        <v>28</v>
      </c>
      <c r="V225" s="368">
        <v>0</v>
      </c>
      <c r="W225" s="365">
        <v>0</v>
      </c>
      <c r="X225" s="429" t="s">
        <v>59</v>
      </c>
      <c r="Y225" s="187">
        <f>Q225*25-S225-T225-U225-V225-W225</f>
        <v>72</v>
      </c>
      <c r="Z225" s="490" t="str">
        <f>IF(ISBLANK(Z223),"",CONCATENATE(LEFT(INDEX(Z$71:Z$102,MATCH(LEFT(Z223,11)&amp;"*",Z$71:Z$102,0)+2),FIND("-",INDEX(Z$71:Z$102,MATCH(LEFT(Z223,11)&amp;"*",Z$71:Z$102,0)+2))),$A223))</f>
        <v>L420.19.07.S4-08</v>
      </c>
      <c r="AA225" s="491"/>
      <c r="AB225" s="492"/>
      <c r="AC225" s="364">
        <v>5</v>
      </c>
      <c r="AD225" s="365" t="s">
        <v>5</v>
      </c>
      <c r="AE225" s="366">
        <v>0</v>
      </c>
      <c r="AF225" s="367">
        <v>0</v>
      </c>
      <c r="AG225" s="367">
        <v>14</v>
      </c>
      <c r="AH225" s="368">
        <v>14</v>
      </c>
      <c r="AI225" s="365">
        <v>0</v>
      </c>
      <c r="AJ225" s="429" t="s">
        <v>59</v>
      </c>
      <c r="AK225" s="187">
        <f>AC225*25-AE225-AF225-AG225-AH225-AI225</f>
        <v>97</v>
      </c>
      <c r="AL225" s="490" t="str">
        <f>IF(ISBLANK(AL223),"",CONCATENATE(LEFT(INDEX(AL$71:AL$102,MATCH(LEFT(AL223,11)&amp;"*",AL$71:AL$102,0)+2),FIND("-",INDEX(AL$71:AL$102,MATCH(LEFT(AL223,11)&amp;"*",AL$71:AL$102,0)+2))),$A223))</f>
        <v>L420.19.08.S4-08</v>
      </c>
      <c r="AM225" s="491"/>
      <c r="AN225" s="492"/>
      <c r="AO225" s="364">
        <v>3</v>
      </c>
      <c r="AP225" s="365" t="s">
        <v>5</v>
      </c>
      <c r="AQ225" s="366">
        <v>0</v>
      </c>
      <c r="AR225" s="367">
        <v>0</v>
      </c>
      <c r="AS225" s="367">
        <v>0</v>
      </c>
      <c r="AT225" s="368">
        <v>14</v>
      </c>
      <c r="AU225" s="365">
        <v>0</v>
      </c>
      <c r="AV225" s="429" t="s">
        <v>59</v>
      </c>
      <c r="AW225" s="187">
        <f>AO225*25-AQ225-AR225-AS225-AT225-AU225</f>
        <v>61</v>
      </c>
    </row>
    <row r="226" spans="1:49" s="75" customFormat="1" ht="21" customHeight="1" thickTop="1" x14ac:dyDescent="0.25">
      <c r="A226" s="513" t="s">
        <v>87</v>
      </c>
      <c r="B226" s="501"/>
      <c r="C226" s="502"/>
      <c r="D226" s="502"/>
      <c r="E226" s="502"/>
      <c r="F226" s="502"/>
      <c r="G226" s="502"/>
      <c r="H226" s="502"/>
      <c r="I226" s="502"/>
      <c r="J226" s="502"/>
      <c r="K226" s="502"/>
      <c r="L226" s="502"/>
      <c r="M226" s="503"/>
      <c r="N226" s="501"/>
      <c r="O226" s="502"/>
      <c r="P226" s="502"/>
      <c r="Q226" s="502"/>
      <c r="R226" s="502"/>
      <c r="S226" s="502"/>
      <c r="T226" s="502"/>
      <c r="U226" s="502"/>
      <c r="V226" s="502"/>
      <c r="W226" s="502"/>
      <c r="X226" s="502"/>
      <c r="Y226" s="503"/>
      <c r="Z226" s="501" t="s">
        <v>402</v>
      </c>
      <c r="AA226" s="502"/>
      <c r="AB226" s="502"/>
      <c r="AC226" s="502"/>
      <c r="AD226" s="502"/>
      <c r="AE226" s="502"/>
      <c r="AF226" s="502"/>
      <c r="AG226" s="502"/>
      <c r="AH226" s="502"/>
      <c r="AI226" s="502"/>
      <c r="AJ226" s="502"/>
      <c r="AK226" s="503"/>
      <c r="AL226" s="501"/>
      <c r="AM226" s="502"/>
      <c r="AN226" s="502"/>
      <c r="AO226" s="502"/>
      <c r="AP226" s="502"/>
      <c r="AQ226" s="502"/>
      <c r="AR226" s="502"/>
      <c r="AS226" s="502"/>
      <c r="AT226" s="502"/>
      <c r="AU226" s="502"/>
      <c r="AV226" s="502"/>
      <c r="AW226" s="503"/>
    </row>
    <row r="227" spans="1:49" s="75" customFormat="1" ht="21" customHeight="1" x14ac:dyDescent="0.25">
      <c r="A227" s="514"/>
      <c r="B227" s="504"/>
      <c r="C227" s="505"/>
      <c r="D227" s="505"/>
      <c r="E227" s="505"/>
      <c r="F227" s="505"/>
      <c r="G227" s="505"/>
      <c r="H227" s="505"/>
      <c r="I227" s="505"/>
      <c r="J227" s="505"/>
      <c r="K227" s="505"/>
      <c r="L227" s="505"/>
      <c r="M227" s="506"/>
      <c r="N227" s="504"/>
      <c r="O227" s="505"/>
      <c r="P227" s="505"/>
      <c r="Q227" s="505"/>
      <c r="R227" s="505"/>
      <c r="S227" s="505"/>
      <c r="T227" s="505"/>
      <c r="U227" s="505"/>
      <c r="V227" s="505"/>
      <c r="W227" s="505"/>
      <c r="X227" s="505"/>
      <c r="Y227" s="506"/>
      <c r="Z227" s="504"/>
      <c r="AA227" s="505"/>
      <c r="AB227" s="505"/>
      <c r="AC227" s="505"/>
      <c r="AD227" s="505"/>
      <c r="AE227" s="505"/>
      <c r="AF227" s="505"/>
      <c r="AG227" s="505"/>
      <c r="AH227" s="505"/>
      <c r="AI227" s="505"/>
      <c r="AJ227" s="505"/>
      <c r="AK227" s="506"/>
      <c r="AL227" s="504"/>
      <c r="AM227" s="505"/>
      <c r="AN227" s="505"/>
      <c r="AO227" s="505"/>
      <c r="AP227" s="505"/>
      <c r="AQ227" s="505"/>
      <c r="AR227" s="505"/>
      <c r="AS227" s="505"/>
      <c r="AT227" s="505"/>
      <c r="AU227" s="505"/>
      <c r="AV227" s="505"/>
      <c r="AW227" s="506"/>
    </row>
    <row r="228" spans="1:49" s="75" customFormat="1" ht="21" customHeight="1" thickBot="1" x14ac:dyDescent="0.3">
      <c r="A228" s="515"/>
      <c r="B228" s="490" t="str">
        <f>IF(ISBLANK(B226),"",CONCATENATE(LEFT(INDEX(B$71:B$102,MATCH(LEFT(B226,11)&amp;"*",B$71:B$102,0)+2),FIND("-",INDEX(B$71:B$102,MATCH(LEFT(B226,11)&amp;"*",B$71:B$102,0)+2))),A226))</f>
        <v/>
      </c>
      <c r="C228" s="491"/>
      <c r="D228" s="492"/>
      <c r="E228" s="193"/>
      <c r="F228" s="203"/>
      <c r="G228" s="195"/>
      <c r="H228" s="196"/>
      <c r="I228" s="196"/>
      <c r="J228" s="197"/>
      <c r="K228" s="198"/>
      <c r="L228" s="198"/>
      <c r="M228" s="198"/>
      <c r="N228" s="490" t="str">
        <f>IF(ISBLANK(N226),"",CONCATENATE(LEFT(INDEX(N$71:N$102,MATCH(LEFT(N226,11)&amp;"*",N$71:N$102,0)+2),FIND("-",INDEX(N$71:N$102,MATCH(LEFT(N226,11)&amp;"*",N$71:N$102,0)+2))),$A226))</f>
        <v/>
      </c>
      <c r="O228" s="491"/>
      <c r="P228" s="492"/>
      <c r="Q228" s="305"/>
      <c r="R228" s="210"/>
      <c r="S228" s="205"/>
      <c r="T228" s="207"/>
      <c r="U228" s="207"/>
      <c r="V228" s="206"/>
      <c r="W228" s="209"/>
      <c r="X228" s="187"/>
      <c r="Y228" s="187"/>
      <c r="Z228" s="490" t="str">
        <f>IF(ISBLANK(Z226),"",CONCATENATE(LEFT(INDEX(Z$71:Z$102,MATCH(LEFT(Z226,11)&amp;"*",Z$71:Z$102,0)+2),FIND("-",INDEX(Z$71:Z$102,MATCH(LEFT(Z226,11)&amp;"*",Z$71:Z$102,0)+2))),$A226))</f>
        <v>L420.19.07.D6-09</v>
      </c>
      <c r="AA228" s="491"/>
      <c r="AB228" s="492"/>
      <c r="AC228" s="364">
        <v>5</v>
      </c>
      <c r="AD228" s="365" t="s">
        <v>295</v>
      </c>
      <c r="AE228" s="366">
        <v>0</v>
      </c>
      <c r="AF228" s="367">
        <v>0</v>
      </c>
      <c r="AG228" s="367">
        <v>0</v>
      </c>
      <c r="AH228" s="368">
        <v>28</v>
      </c>
      <c r="AI228" s="365">
        <v>0</v>
      </c>
      <c r="AJ228" s="429" t="s">
        <v>54</v>
      </c>
      <c r="AK228" s="187">
        <f>AC228*25-AE228-AF228-AG228-AH228-AI228</f>
        <v>97</v>
      </c>
      <c r="AL228" s="490" t="str">
        <f>IF(ISBLANK(AL226),"",CONCATENATE(LEFT(INDEX(AL$71:AL$102,MATCH(LEFT(AL226,11)&amp;"*",AL$71:AL$102,0)+2),FIND("-",INDEX(AL$71:AL$102,MATCH(LEFT(AL226,11)&amp;"*",AL$71:AL$102,0)+2))),$A226))</f>
        <v/>
      </c>
      <c r="AM228" s="491"/>
      <c r="AN228" s="492"/>
      <c r="AO228" s="305"/>
      <c r="AP228" s="210"/>
      <c r="AQ228" s="205"/>
      <c r="AR228" s="207"/>
      <c r="AS228" s="207"/>
      <c r="AT228" s="206"/>
      <c r="AU228" s="209"/>
      <c r="AV228" s="187"/>
      <c r="AW228" s="187"/>
    </row>
    <row r="229" spans="1:49" s="75" customFormat="1" ht="21" customHeight="1" thickTop="1" x14ac:dyDescent="0.25">
      <c r="A229" s="513" t="s">
        <v>64</v>
      </c>
      <c r="B229" s="501"/>
      <c r="C229" s="502"/>
      <c r="D229" s="502"/>
      <c r="E229" s="502"/>
      <c r="F229" s="502"/>
      <c r="G229" s="502"/>
      <c r="H229" s="502"/>
      <c r="I229" s="502"/>
      <c r="J229" s="502"/>
      <c r="K229" s="502"/>
      <c r="L229" s="502"/>
      <c r="M229" s="503"/>
      <c r="N229" s="501"/>
      <c r="O229" s="502"/>
      <c r="P229" s="502"/>
      <c r="Q229" s="502"/>
      <c r="R229" s="502"/>
      <c r="S229" s="502"/>
      <c r="T229" s="502"/>
      <c r="U229" s="502"/>
      <c r="V229" s="502"/>
      <c r="W229" s="502"/>
      <c r="X229" s="502"/>
      <c r="Y229" s="503"/>
      <c r="Z229" s="501" t="s">
        <v>403</v>
      </c>
      <c r="AA229" s="502"/>
      <c r="AB229" s="502"/>
      <c r="AC229" s="502"/>
      <c r="AD229" s="502"/>
      <c r="AE229" s="502"/>
      <c r="AF229" s="502"/>
      <c r="AG229" s="502"/>
      <c r="AH229" s="502"/>
      <c r="AI229" s="502"/>
      <c r="AJ229" s="502"/>
      <c r="AK229" s="503"/>
      <c r="AL229" s="501"/>
      <c r="AM229" s="502"/>
      <c r="AN229" s="502"/>
      <c r="AO229" s="502"/>
      <c r="AP229" s="502"/>
      <c r="AQ229" s="502"/>
      <c r="AR229" s="502"/>
      <c r="AS229" s="502"/>
      <c r="AT229" s="502"/>
      <c r="AU229" s="502"/>
      <c r="AV229" s="502"/>
      <c r="AW229" s="503"/>
    </row>
    <row r="230" spans="1:49" s="75" customFormat="1" ht="21" customHeight="1" x14ac:dyDescent="0.25">
      <c r="A230" s="514"/>
      <c r="B230" s="504"/>
      <c r="C230" s="505"/>
      <c r="D230" s="505"/>
      <c r="E230" s="505"/>
      <c r="F230" s="505"/>
      <c r="G230" s="505"/>
      <c r="H230" s="505"/>
      <c r="I230" s="505"/>
      <c r="J230" s="505"/>
      <c r="K230" s="505"/>
      <c r="L230" s="505"/>
      <c r="M230" s="506"/>
      <c r="N230" s="504"/>
      <c r="O230" s="505"/>
      <c r="P230" s="505"/>
      <c r="Q230" s="505"/>
      <c r="R230" s="505"/>
      <c r="S230" s="505"/>
      <c r="T230" s="505"/>
      <c r="U230" s="505"/>
      <c r="V230" s="505"/>
      <c r="W230" s="505"/>
      <c r="X230" s="505"/>
      <c r="Y230" s="506"/>
      <c r="Z230" s="504"/>
      <c r="AA230" s="505"/>
      <c r="AB230" s="505"/>
      <c r="AC230" s="505"/>
      <c r="AD230" s="505"/>
      <c r="AE230" s="505"/>
      <c r="AF230" s="505"/>
      <c r="AG230" s="505"/>
      <c r="AH230" s="505"/>
      <c r="AI230" s="505"/>
      <c r="AJ230" s="505"/>
      <c r="AK230" s="506"/>
      <c r="AL230" s="504"/>
      <c r="AM230" s="505"/>
      <c r="AN230" s="505"/>
      <c r="AO230" s="505"/>
      <c r="AP230" s="505"/>
      <c r="AQ230" s="505"/>
      <c r="AR230" s="505"/>
      <c r="AS230" s="505"/>
      <c r="AT230" s="505"/>
      <c r="AU230" s="505"/>
      <c r="AV230" s="505"/>
      <c r="AW230" s="506"/>
    </row>
    <row r="231" spans="1:49" s="75" customFormat="1" ht="21" customHeight="1" thickBot="1" x14ac:dyDescent="0.3">
      <c r="A231" s="515"/>
      <c r="B231" s="490" t="str">
        <f>IF(ISBLANK(B229),"",CONCATENATE(LEFT(INDEX(B$71:B$102,MATCH(LEFT(B229,11)&amp;"*",B$71:B$102,0)+2),FIND("-",INDEX(B$71:B$102,MATCH(LEFT(B229,11)&amp;"*",B$71:B$102,0)+2))),A229))</f>
        <v/>
      </c>
      <c r="C231" s="491"/>
      <c r="D231" s="492"/>
      <c r="E231" s="193"/>
      <c r="F231" s="203"/>
      <c r="G231" s="195"/>
      <c r="H231" s="196"/>
      <c r="I231" s="196"/>
      <c r="J231" s="197"/>
      <c r="K231" s="198"/>
      <c r="L231" s="198"/>
      <c r="M231" s="198"/>
      <c r="N231" s="490" t="str">
        <f>IF(ISBLANK(N229),"",CONCATENATE(LEFT(INDEX(N$71:N$102,MATCH(LEFT(N229,11)&amp;"*",N$71:N$102,0)+2),FIND("-",INDEX(N$71:N$102,MATCH(LEFT(N229,11)&amp;"*",N$71:N$102,0)+2))),$A229))</f>
        <v/>
      </c>
      <c r="O231" s="491"/>
      <c r="P231" s="492"/>
      <c r="Q231" s="305"/>
      <c r="R231" s="210"/>
      <c r="S231" s="205"/>
      <c r="T231" s="207"/>
      <c r="U231" s="207"/>
      <c r="V231" s="206"/>
      <c r="W231" s="209"/>
      <c r="X231" s="187"/>
      <c r="Y231" s="187"/>
      <c r="Z231" s="490" t="str">
        <f>IF(ISBLANK(Z229),"",CONCATENATE(LEFT(INDEX(Z$71:Z$102,MATCH(LEFT(Z229,11)&amp;"*",Z$71:Z$102,0)+2),FIND("-",INDEX(Z$71:Z$102,MATCH(LEFT(Z229,11)&amp;"*",Z$71:Z$102,0)+2))),$A229))</f>
        <v>L420.19.07.D7-10</v>
      </c>
      <c r="AA231" s="491"/>
      <c r="AB231" s="492"/>
      <c r="AC231" s="364">
        <v>4</v>
      </c>
      <c r="AD231" s="365" t="s">
        <v>5</v>
      </c>
      <c r="AE231" s="366">
        <v>0</v>
      </c>
      <c r="AF231" s="367">
        <v>0</v>
      </c>
      <c r="AG231" s="367">
        <v>28</v>
      </c>
      <c r="AH231" s="368">
        <v>0</v>
      </c>
      <c r="AI231" s="365">
        <v>0</v>
      </c>
      <c r="AJ231" s="429" t="s">
        <v>54</v>
      </c>
      <c r="AK231" s="187">
        <f>AC231*25-AE231-AF231-AG231-AH231-AI231</f>
        <v>72</v>
      </c>
      <c r="AL231" s="490" t="str">
        <f>IF(ISBLANK(AL229),"",CONCATENATE(LEFT(INDEX(AL$71:AL$102,MATCH(LEFT(AL229,11)&amp;"*",AL$71:AL$102,0)+2),FIND("-",INDEX(AL$71:AL$102,MATCH(LEFT(AL229,11)&amp;"*",AL$71:AL$102,0)+2))),$A229))</f>
        <v/>
      </c>
      <c r="AM231" s="491"/>
      <c r="AN231" s="492"/>
      <c r="AO231" s="305"/>
      <c r="AP231" s="210"/>
      <c r="AQ231" s="205"/>
      <c r="AR231" s="207"/>
      <c r="AS231" s="207"/>
      <c r="AT231" s="206"/>
      <c r="AU231" s="209"/>
      <c r="AV231" s="187"/>
      <c r="AW231" s="187"/>
    </row>
    <row r="232" spans="1:49" s="75" customFormat="1" ht="21" customHeight="1" thickTop="1" x14ac:dyDescent="0.25">
      <c r="A232" s="513" t="s">
        <v>65</v>
      </c>
      <c r="B232" s="501"/>
      <c r="C232" s="502"/>
      <c r="D232" s="502"/>
      <c r="E232" s="502"/>
      <c r="F232" s="502"/>
      <c r="G232" s="502"/>
      <c r="H232" s="502"/>
      <c r="I232" s="502"/>
      <c r="J232" s="502"/>
      <c r="K232" s="502"/>
      <c r="L232" s="502"/>
      <c r="M232" s="503"/>
      <c r="N232" s="501"/>
      <c r="O232" s="502"/>
      <c r="P232" s="502"/>
      <c r="Q232" s="502"/>
      <c r="R232" s="502"/>
      <c r="S232" s="502"/>
      <c r="T232" s="502"/>
      <c r="U232" s="502"/>
      <c r="V232" s="502"/>
      <c r="W232" s="502"/>
      <c r="X232" s="502"/>
      <c r="Y232" s="503"/>
      <c r="Z232" s="501" t="s">
        <v>404</v>
      </c>
      <c r="AA232" s="502"/>
      <c r="AB232" s="502"/>
      <c r="AC232" s="502"/>
      <c r="AD232" s="502"/>
      <c r="AE232" s="502"/>
      <c r="AF232" s="502"/>
      <c r="AG232" s="502"/>
      <c r="AH232" s="502"/>
      <c r="AI232" s="502"/>
      <c r="AJ232" s="502"/>
      <c r="AK232" s="503"/>
      <c r="AL232" s="501"/>
      <c r="AM232" s="502"/>
      <c r="AN232" s="502"/>
      <c r="AO232" s="502"/>
      <c r="AP232" s="502"/>
      <c r="AQ232" s="502"/>
      <c r="AR232" s="502"/>
      <c r="AS232" s="502"/>
      <c r="AT232" s="502"/>
      <c r="AU232" s="502"/>
      <c r="AV232" s="502"/>
      <c r="AW232" s="503"/>
    </row>
    <row r="233" spans="1:49" s="75" customFormat="1" ht="21" customHeight="1" x14ac:dyDescent="0.25">
      <c r="A233" s="514"/>
      <c r="B233" s="504"/>
      <c r="C233" s="505"/>
      <c r="D233" s="505"/>
      <c r="E233" s="505"/>
      <c r="F233" s="505"/>
      <c r="G233" s="505"/>
      <c r="H233" s="505"/>
      <c r="I233" s="505"/>
      <c r="J233" s="505"/>
      <c r="K233" s="505"/>
      <c r="L233" s="505"/>
      <c r="M233" s="506"/>
      <c r="N233" s="504"/>
      <c r="O233" s="505"/>
      <c r="P233" s="505"/>
      <c r="Q233" s="505"/>
      <c r="R233" s="505"/>
      <c r="S233" s="505"/>
      <c r="T233" s="505"/>
      <c r="U233" s="505"/>
      <c r="V233" s="505"/>
      <c r="W233" s="505"/>
      <c r="X233" s="505"/>
      <c r="Y233" s="506"/>
      <c r="Z233" s="504"/>
      <c r="AA233" s="505"/>
      <c r="AB233" s="505"/>
      <c r="AC233" s="505"/>
      <c r="AD233" s="505"/>
      <c r="AE233" s="505"/>
      <c r="AF233" s="505"/>
      <c r="AG233" s="505"/>
      <c r="AH233" s="505"/>
      <c r="AI233" s="505"/>
      <c r="AJ233" s="505"/>
      <c r="AK233" s="506"/>
      <c r="AL233" s="504"/>
      <c r="AM233" s="505"/>
      <c r="AN233" s="505"/>
      <c r="AO233" s="505"/>
      <c r="AP233" s="505"/>
      <c r="AQ233" s="505"/>
      <c r="AR233" s="505"/>
      <c r="AS233" s="505"/>
      <c r="AT233" s="505"/>
      <c r="AU233" s="505"/>
      <c r="AV233" s="505"/>
      <c r="AW233" s="506"/>
    </row>
    <row r="234" spans="1:49" s="75" customFormat="1" ht="21" customHeight="1" thickBot="1" x14ac:dyDescent="0.3">
      <c r="A234" s="515"/>
      <c r="B234" s="490" t="str">
        <f>IF(ISBLANK(B232),"",CONCATENATE(LEFT(INDEX(B$71:B$102,MATCH(LEFT(B232,11)&amp;"*",B$71:B$102,0)+2),FIND("-",INDEX(B$71:B$102,MATCH(LEFT(B232,11)&amp;"*",B$71:B$102,0)+2))),A232))</f>
        <v/>
      </c>
      <c r="C234" s="491"/>
      <c r="D234" s="492"/>
      <c r="E234" s="193"/>
      <c r="F234" s="203"/>
      <c r="G234" s="195"/>
      <c r="H234" s="196"/>
      <c r="I234" s="196"/>
      <c r="J234" s="197"/>
      <c r="K234" s="198"/>
      <c r="L234" s="198"/>
      <c r="M234" s="198"/>
      <c r="N234" s="490" t="str">
        <f>IF(ISBLANK(N232),"",CONCATENATE(LEFT(INDEX(N$71:N$102,MATCH(LEFT(N232,11)&amp;"*",N$71:N$102,0)+2),FIND("-",INDEX(N$71:N$102,MATCH(LEFT(N232,11)&amp;"*",N$71:N$102,0)+2))),$A232))</f>
        <v/>
      </c>
      <c r="O234" s="491"/>
      <c r="P234" s="492"/>
      <c r="Q234" s="193"/>
      <c r="R234" s="194"/>
      <c r="S234" s="195"/>
      <c r="T234" s="196"/>
      <c r="U234" s="196"/>
      <c r="V234" s="197"/>
      <c r="W234" s="198"/>
      <c r="X234" s="194"/>
      <c r="Y234" s="198"/>
      <c r="Z234" s="490" t="str">
        <f>IF(ISBLANK(Z232),"",CONCATENATE(LEFT(INDEX(Z$71:Z$102,MATCH(LEFT(Z232,11)&amp;"*",Z$71:Z$102,0)+2),FIND("-",INDEX(Z$71:Z$102,MATCH(LEFT(Z232,11)&amp;"*",Z$71:Z$102,0)+2))),$A232))</f>
        <v>L420.19.07.D6-11</v>
      </c>
      <c r="AA234" s="491"/>
      <c r="AB234" s="492"/>
      <c r="AC234" s="364">
        <v>5</v>
      </c>
      <c r="AD234" s="365" t="s">
        <v>295</v>
      </c>
      <c r="AE234" s="366">
        <v>0</v>
      </c>
      <c r="AF234" s="367">
        <v>0</v>
      </c>
      <c r="AG234" s="367">
        <v>0</v>
      </c>
      <c r="AH234" s="368">
        <v>28</v>
      </c>
      <c r="AI234" s="365">
        <v>0</v>
      </c>
      <c r="AJ234" s="429" t="s">
        <v>54</v>
      </c>
      <c r="AK234" s="187">
        <f>AC234*25-AE234-AF234-AG234-AH234-AI234</f>
        <v>97</v>
      </c>
      <c r="AL234" s="490" t="str">
        <f>IF(ISBLANK(AL232),"",CONCATENATE(LEFT(INDEX(AL$71:AL$102,MATCH(LEFT(AL232,11)&amp;"*",AL$71:AL$102,0)+2),FIND("-",INDEX(AL$71:AL$102,MATCH(LEFT(AL232,11)&amp;"*",AL$71:AL$102,0)+2))),$A232))</f>
        <v/>
      </c>
      <c r="AM234" s="491"/>
      <c r="AN234" s="492"/>
      <c r="AO234" s="193"/>
      <c r="AP234" s="194"/>
      <c r="AQ234" s="195"/>
      <c r="AR234" s="196"/>
      <c r="AS234" s="196"/>
      <c r="AT234" s="197"/>
      <c r="AU234" s="198"/>
      <c r="AV234" s="194"/>
      <c r="AW234" s="198"/>
    </row>
    <row r="235" spans="1:49" s="75" customFormat="1" ht="21" customHeight="1" thickTop="1" x14ac:dyDescent="0.25">
      <c r="A235" s="513" t="s">
        <v>88</v>
      </c>
      <c r="B235" s="501"/>
      <c r="C235" s="502"/>
      <c r="D235" s="502"/>
      <c r="E235" s="502"/>
      <c r="F235" s="502"/>
      <c r="G235" s="502"/>
      <c r="H235" s="502"/>
      <c r="I235" s="502"/>
      <c r="J235" s="502"/>
      <c r="K235" s="502"/>
      <c r="L235" s="502"/>
      <c r="M235" s="503"/>
      <c r="N235" s="501"/>
      <c r="O235" s="502"/>
      <c r="P235" s="502"/>
      <c r="Q235" s="502"/>
      <c r="R235" s="502"/>
      <c r="S235" s="502"/>
      <c r="T235" s="502"/>
      <c r="U235" s="502"/>
      <c r="V235" s="502"/>
      <c r="W235" s="502"/>
      <c r="X235" s="502"/>
      <c r="Y235" s="503"/>
      <c r="Z235" s="501" t="s">
        <v>405</v>
      </c>
      <c r="AA235" s="502"/>
      <c r="AB235" s="502"/>
      <c r="AC235" s="502"/>
      <c r="AD235" s="502"/>
      <c r="AE235" s="502"/>
      <c r="AF235" s="502"/>
      <c r="AG235" s="502"/>
      <c r="AH235" s="502"/>
      <c r="AI235" s="502"/>
      <c r="AJ235" s="502"/>
      <c r="AK235" s="503"/>
      <c r="AL235" s="501"/>
      <c r="AM235" s="502"/>
      <c r="AN235" s="502"/>
      <c r="AO235" s="502"/>
      <c r="AP235" s="502"/>
      <c r="AQ235" s="502"/>
      <c r="AR235" s="502"/>
      <c r="AS235" s="502"/>
      <c r="AT235" s="502"/>
      <c r="AU235" s="502"/>
      <c r="AV235" s="502"/>
      <c r="AW235" s="503"/>
    </row>
    <row r="236" spans="1:49" s="75" customFormat="1" ht="21" customHeight="1" x14ac:dyDescent="0.25">
      <c r="A236" s="514"/>
      <c r="B236" s="504"/>
      <c r="C236" s="505"/>
      <c r="D236" s="505"/>
      <c r="E236" s="505"/>
      <c r="F236" s="505"/>
      <c r="G236" s="505"/>
      <c r="H236" s="505"/>
      <c r="I236" s="505"/>
      <c r="J236" s="505"/>
      <c r="K236" s="505"/>
      <c r="L236" s="505"/>
      <c r="M236" s="506"/>
      <c r="N236" s="504"/>
      <c r="O236" s="505"/>
      <c r="P236" s="505"/>
      <c r="Q236" s="505"/>
      <c r="R236" s="505"/>
      <c r="S236" s="505"/>
      <c r="T236" s="505"/>
      <c r="U236" s="505"/>
      <c r="V236" s="505"/>
      <c r="W236" s="505"/>
      <c r="X236" s="505"/>
      <c r="Y236" s="506"/>
      <c r="Z236" s="504"/>
      <c r="AA236" s="505"/>
      <c r="AB236" s="505"/>
      <c r="AC236" s="505"/>
      <c r="AD236" s="505"/>
      <c r="AE236" s="505"/>
      <c r="AF236" s="505"/>
      <c r="AG236" s="505"/>
      <c r="AH236" s="505"/>
      <c r="AI236" s="505"/>
      <c r="AJ236" s="505"/>
      <c r="AK236" s="506"/>
      <c r="AL236" s="504"/>
      <c r="AM236" s="505"/>
      <c r="AN236" s="505"/>
      <c r="AO236" s="505"/>
      <c r="AP236" s="505"/>
      <c r="AQ236" s="505"/>
      <c r="AR236" s="505"/>
      <c r="AS236" s="505"/>
      <c r="AT236" s="505"/>
      <c r="AU236" s="505"/>
      <c r="AV236" s="505"/>
      <c r="AW236" s="506"/>
    </row>
    <row r="237" spans="1:49" s="75" customFormat="1" ht="21" customHeight="1" thickBot="1" x14ac:dyDescent="0.3">
      <c r="A237" s="515"/>
      <c r="B237" s="490" t="str">
        <f>IF(ISBLANK(B235),"",CONCATENATE(LEFT(INDEX(B$71:B$102,MATCH(LEFT(B235,11)&amp;"*",B$71:B$102,0)+2),FIND("-",INDEX(B$71:B$102,MATCH(LEFT(B235,11)&amp;"*",B$71:B$102,0)+2))),A235))</f>
        <v/>
      </c>
      <c r="C237" s="491"/>
      <c r="D237" s="492"/>
      <c r="E237" s="193"/>
      <c r="F237" s="203"/>
      <c r="G237" s="195"/>
      <c r="H237" s="196"/>
      <c r="I237" s="196"/>
      <c r="J237" s="197"/>
      <c r="K237" s="198"/>
      <c r="L237" s="198"/>
      <c r="M237" s="198"/>
      <c r="N237" s="490" t="str">
        <f>IF(ISBLANK(N235),"",CONCATENATE(LEFT(INDEX(N$71:N$102,MATCH(LEFT(N235,11)&amp;"*",N$71:N$102,0)+2),FIND("-",INDEX(N$71:N$102,MATCH(LEFT(N235,11)&amp;"*",N$71:N$102,0)+2))),$A235))</f>
        <v/>
      </c>
      <c r="O237" s="491"/>
      <c r="P237" s="492"/>
      <c r="Q237" s="193"/>
      <c r="R237" s="194"/>
      <c r="S237" s="195"/>
      <c r="T237" s="196"/>
      <c r="U237" s="196"/>
      <c r="V237" s="197"/>
      <c r="W237" s="198"/>
      <c r="X237" s="194"/>
      <c r="Y237" s="198"/>
      <c r="Z237" s="490" t="str">
        <f>IF(ISBLANK(Z235),"",CONCATENATE(LEFT(INDEX(Z$71:Z$102,MATCH(LEFT(Z235,11)&amp;"*",Z$71:Z$102,0)+2),FIND("-",INDEX(Z$71:Z$102,MATCH(LEFT(Z235,11)&amp;"*",Z$71:Z$102,0)+2))),$A235))</f>
        <v>L420.19.07.D7-12</v>
      </c>
      <c r="AA237" s="491"/>
      <c r="AB237" s="492"/>
      <c r="AC237" s="364">
        <v>4</v>
      </c>
      <c r="AD237" s="365" t="s">
        <v>5</v>
      </c>
      <c r="AE237" s="366">
        <v>0</v>
      </c>
      <c r="AF237" s="367">
        <v>0</v>
      </c>
      <c r="AG237" s="367">
        <v>28</v>
      </c>
      <c r="AH237" s="368">
        <v>0</v>
      </c>
      <c r="AI237" s="365">
        <v>0</v>
      </c>
      <c r="AJ237" s="429" t="s">
        <v>54</v>
      </c>
      <c r="AK237" s="187">
        <f>AC237*25-AE237-AF237-AG237-AH237-AI237</f>
        <v>72</v>
      </c>
      <c r="AL237" s="490" t="str">
        <f>IF(ISBLANK(AL235),"",CONCATENATE(LEFT(INDEX(AL$71:AL$102,MATCH(LEFT(AL235,11)&amp;"*",AL$71:AL$102,0)+2),FIND("-",INDEX(AL$71:AL$102,MATCH(LEFT(AL235,11)&amp;"*",AL$71:AL$102,0)+2))),$A235))</f>
        <v/>
      </c>
      <c r="AM237" s="491"/>
      <c r="AN237" s="492"/>
      <c r="AO237" s="193"/>
      <c r="AP237" s="194"/>
      <c r="AQ237" s="195"/>
      <c r="AR237" s="196"/>
      <c r="AS237" s="196"/>
      <c r="AT237" s="197"/>
      <c r="AU237" s="198"/>
      <c r="AV237" s="194"/>
      <c r="AW237" s="198"/>
    </row>
    <row r="238" spans="1:49" s="75" customFormat="1" ht="21" customHeight="1" thickTop="1" x14ac:dyDescent="0.25">
      <c r="A238" s="513" t="s">
        <v>236</v>
      </c>
      <c r="B238" s="501"/>
      <c r="C238" s="502"/>
      <c r="D238" s="502"/>
      <c r="E238" s="502"/>
      <c r="F238" s="502"/>
      <c r="G238" s="502"/>
      <c r="H238" s="502"/>
      <c r="I238" s="502"/>
      <c r="J238" s="502"/>
      <c r="K238" s="502"/>
      <c r="L238" s="502"/>
      <c r="M238" s="503"/>
      <c r="N238" s="501"/>
      <c r="O238" s="502"/>
      <c r="P238" s="502"/>
      <c r="Q238" s="502"/>
      <c r="R238" s="502"/>
      <c r="S238" s="502"/>
      <c r="T238" s="502"/>
      <c r="U238" s="502"/>
      <c r="V238" s="502"/>
      <c r="W238" s="502"/>
      <c r="X238" s="502"/>
      <c r="Y238" s="503"/>
      <c r="Z238" s="501"/>
      <c r="AA238" s="502"/>
      <c r="AB238" s="502"/>
      <c r="AC238" s="502"/>
      <c r="AD238" s="502"/>
      <c r="AE238" s="502"/>
      <c r="AF238" s="502"/>
      <c r="AG238" s="502"/>
      <c r="AH238" s="502"/>
      <c r="AI238" s="502"/>
      <c r="AJ238" s="502"/>
      <c r="AK238" s="503"/>
      <c r="AL238" s="501"/>
      <c r="AM238" s="502"/>
      <c r="AN238" s="502"/>
      <c r="AO238" s="502"/>
      <c r="AP238" s="502"/>
      <c r="AQ238" s="502"/>
      <c r="AR238" s="502"/>
      <c r="AS238" s="502"/>
      <c r="AT238" s="502"/>
      <c r="AU238" s="502"/>
      <c r="AV238" s="502"/>
      <c r="AW238" s="503"/>
    </row>
    <row r="239" spans="1:49" s="75" customFormat="1" ht="21" customHeight="1" x14ac:dyDescent="0.25">
      <c r="A239" s="514"/>
      <c r="B239" s="504"/>
      <c r="C239" s="505"/>
      <c r="D239" s="505"/>
      <c r="E239" s="505"/>
      <c r="F239" s="505"/>
      <c r="G239" s="505"/>
      <c r="H239" s="505"/>
      <c r="I239" s="505"/>
      <c r="J239" s="505"/>
      <c r="K239" s="505"/>
      <c r="L239" s="505"/>
      <c r="M239" s="506"/>
      <c r="N239" s="504"/>
      <c r="O239" s="505"/>
      <c r="P239" s="505"/>
      <c r="Q239" s="505"/>
      <c r="R239" s="505"/>
      <c r="S239" s="505"/>
      <c r="T239" s="505"/>
      <c r="U239" s="505"/>
      <c r="V239" s="505"/>
      <c r="W239" s="505"/>
      <c r="X239" s="505"/>
      <c r="Y239" s="506"/>
      <c r="Z239" s="504"/>
      <c r="AA239" s="505"/>
      <c r="AB239" s="505"/>
      <c r="AC239" s="505"/>
      <c r="AD239" s="505"/>
      <c r="AE239" s="505"/>
      <c r="AF239" s="505"/>
      <c r="AG239" s="505"/>
      <c r="AH239" s="505"/>
      <c r="AI239" s="505"/>
      <c r="AJ239" s="505"/>
      <c r="AK239" s="506"/>
      <c r="AL239" s="504"/>
      <c r="AM239" s="505"/>
      <c r="AN239" s="505"/>
      <c r="AO239" s="505"/>
      <c r="AP239" s="505"/>
      <c r="AQ239" s="505"/>
      <c r="AR239" s="505"/>
      <c r="AS239" s="505"/>
      <c r="AT239" s="505"/>
      <c r="AU239" s="505"/>
      <c r="AV239" s="505"/>
      <c r="AW239" s="506"/>
    </row>
    <row r="240" spans="1:49" s="78" customFormat="1" ht="21" customHeight="1" thickBot="1" x14ac:dyDescent="0.25">
      <c r="A240" s="515"/>
      <c r="B240" s="490" t="str">
        <f>IF(ISBLANK(B238),"",CONCATENATE(LEFT(INDEX(B$71:B$102,MATCH(LEFT(B238,11)&amp;"*",B$71:B$102,0)+2),FIND("-",INDEX(B$71:B$102,MATCH(LEFT(B238,11)&amp;"*",B$71:B$102,0)+2))),A238))</f>
        <v/>
      </c>
      <c r="C240" s="491"/>
      <c r="D240" s="492"/>
      <c r="E240" s="193"/>
      <c r="F240" s="203"/>
      <c r="G240" s="195"/>
      <c r="H240" s="196"/>
      <c r="I240" s="196"/>
      <c r="J240" s="197"/>
      <c r="K240" s="198"/>
      <c r="L240" s="198"/>
      <c r="M240" s="198"/>
      <c r="N240" s="490" t="str">
        <f>IF(ISBLANK(N238),"",CONCATENATE(LEFT(INDEX(N$71:N$102,MATCH(LEFT(N238,11)&amp;"*",N$71:N$102,0)+2),FIND("-",INDEX(N$71:N$102,MATCH(LEFT(N238,11)&amp;"*",N$71:N$102,0)+2))),$A238))</f>
        <v/>
      </c>
      <c r="O240" s="491"/>
      <c r="P240" s="492"/>
      <c r="Q240" s="193"/>
      <c r="R240" s="194"/>
      <c r="S240" s="195"/>
      <c r="T240" s="196"/>
      <c r="U240" s="196"/>
      <c r="V240" s="197"/>
      <c r="W240" s="198"/>
      <c r="X240" s="194"/>
      <c r="Y240" s="198"/>
      <c r="Z240" s="490" t="str">
        <f>IF(ISBLANK(Z238),"",CONCATENATE(LEFT(INDEX(Z$71:Z$102,MATCH(LEFT(Z238,11)&amp;"*",Z$71:Z$102,0)+2),FIND("-",INDEX(Z$71:Z$102,MATCH(LEFT(Z238,11)&amp;"*",Z$71:Z$102,0)+2))),$A238))</f>
        <v/>
      </c>
      <c r="AA240" s="491"/>
      <c r="AB240" s="492"/>
      <c r="AC240" s="364"/>
      <c r="AD240" s="365"/>
      <c r="AE240" s="366"/>
      <c r="AF240" s="367"/>
      <c r="AG240" s="367"/>
      <c r="AH240" s="368"/>
      <c r="AI240" s="365"/>
      <c r="AJ240" s="429"/>
      <c r="AK240" s="187"/>
      <c r="AL240" s="490" t="str">
        <f>IF(ISBLANK(AL238),"",CONCATENATE(LEFT(INDEX(AL$71:AL$102,MATCH(LEFT(AL238,11)&amp;"*",AL$71:AL$102,0)+2),FIND("-",INDEX(AL$71:AL$102,MATCH(LEFT(AL238,11)&amp;"*",AL$71:AL$102,0)+2))),$A238))</f>
        <v/>
      </c>
      <c r="AM240" s="491"/>
      <c r="AN240" s="492"/>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7" t="s">
        <v>89</v>
      </c>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8"/>
      <c r="AL242" s="578"/>
      <c r="AM242" s="578"/>
      <c r="AN242" s="578"/>
      <c r="AO242" s="578"/>
      <c r="AP242" s="578"/>
      <c r="AQ242" s="578"/>
      <c r="AR242" s="579"/>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64" t="s">
        <v>289</v>
      </c>
      <c r="B244" s="464"/>
      <c r="C244" s="464"/>
      <c r="D244" s="464"/>
      <c r="E244" s="464"/>
      <c r="F244" s="464"/>
      <c r="G244" s="464"/>
      <c r="H244" s="464"/>
      <c r="I244" s="464"/>
      <c r="J244" s="464"/>
      <c r="K244" s="464"/>
      <c r="L244" s="464"/>
      <c r="M244" s="464"/>
      <c r="N244" s="464"/>
      <c r="O244" s="464"/>
      <c r="P244" s="464"/>
      <c r="Q244" s="464"/>
      <c r="R244" s="464"/>
      <c r="S244" s="464"/>
      <c r="T244" s="464"/>
      <c r="U244" s="464"/>
      <c r="V244" s="464"/>
      <c r="W244" s="464"/>
      <c r="X244" s="464"/>
      <c r="Y244" s="464"/>
      <c r="Z244" s="464"/>
      <c r="AA244" s="464"/>
      <c r="AB244" s="464"/>
      <c r="AC244" s="464"/>
      <c r="AD244" s="464"/>
      <c r="AE244" s="464"/>
      <c r="AF244" s="464"/>
      <c r="AG244" s="464"/>
      <c r="AH244" s="464"/>
      <c r="AI244" s="464"/>
      <c r="AJ244" s="464"/>
      <c r="AK244" s="464"/>
      <c r="AL244" s="464"/>
      <c r="AM244" s="464"/>
      <c r="AN244" s="464"/>
      <c r="AO244" s="464"/>
      <c r="AP244" s="464"/>
      <c r="AQ244" s="464"/>
      <c r="AR244" s="464"/>
      <c r="AS244" s="464"/>
      <c r="AT244" s="464"/>
      <c r="AU244" s="464"/>
      <c r="AV244" s="464"/>
      <c r="AW244" s="464"/>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8" t="s">
        <v>39</v>
      </c>
      <c r="C246" s="468"/>
      <c r="D246" s="468"/>
      <c r="E246" s="468"/>
      <c r="F246" s="468"/>
      <c r="G246" s="468"/>
      <c r="H246" s="468"/>
      <c r="I246" s="468"/>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8" t="s">
        <v>42</v>
      </c>
      <c r="AO246" s="468"/>
      <c r="AP246" s="468"/>
      <c r="AQ246" s="468"/>
      <c r="AR246" s="468"/>
      <c r="AS246" s="468"/>
      <c r="AT246" s="468"/>
      <c r="AU246" s="468"/>
      <c r="AV246" s="48"/>
      <c r="AW246" s="48"/>
    </row>
    <row r="247" spans="1:49" s="78" customFormat="1" ht="21" customHeight="1" x14ac:dyDescent="0.2">
      <c r="A247" s="59"/>
      <c r="B247" s="469" t="str">
        <f>Coperta!B$46</f>
        <v>Conf.univ.dr.ing. Florin DRĂGAN</v>
      </c>
      <c r="C247" s="469"/>
      <c r="D247" s="469"/>
      <c r="E247" s="469"/>
      <c r="F247" s="469"/>
      <c r="G247" s="469"/>
      <c r="H247" s="469"/>
      <c r="I247" s="469"/>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9" t="str">
        <f>Coperta!N$46</f>
        <v>Conf.univ.dr.ing. Virgil STOICA</v>
      </c>
      <c r="AO247" s="469"/>
      <c r="AP247" s="469"/>
      <c r="AQ247" s="469"/>
      <c r="AR247" s="469"/>
      <c r="AS247" s="469"/>
      <c r="AT247" s="469"/>
      <c r="AU247" s="469"/>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industrială</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Tehnologia Constructiilor de Masini</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0" t="s">
        <v>82</v>
      </c>
      <c r="B261" s="510"/>
      <c r="C261" s="510"/>
      <c r="D261" s="510"/>
      <c r="E261" s="510"/>
      <c r="F261" s="510"/>
      <c r="G261" s="510"/>
      <c r="H261" s="510"/>
      <c r="I261" s="510"/>
      <c r="J261" s="510"/>
      <c r="K261" s="510"/>
      <c r="L261" s="510"/>
      <c r="M261" s="510"/>
      <c r="N261" s="510"/>
      <c r="O261" s="510"/>
      <c r="P261" s="510"/>
      <c r="Q261" s="510"/>
      <c r="R261" s="510"/>
      <c r="S261" s="510"/>
      <c r="T261" s="510"/>
      <c r="U261" s="510"/>
      <c r="V261" s="510"/>
      <c r="W261" s="510"/>
      <c r="X261" s="510"/>
      <c r="Y261" s="510"/>
      <c r="Z261" s="510"/>
      <c r="AA261" s="510"/>
      <c r="AB261" s="510"/>
      <c r="AC261" s="510"/>
      <c r="AD261" s="510"/>
      <c r="AE261" s="510"/>
      <c r="AF261" s="510"/>
      <c r="AG261" s="510"/>
      <c r="AH261" s="510"/>
      <c r="AI261" s="510"/>
      <c r="AJ261" s="510"/>
      <c r="AK261" s="510"/>
      <c r="AL261" s="510"/>
      <c r="AM261" s="510"/>
      <c r="AN261" s="510"/>
      <c r="AO261" s="510"/>
      <c r="AP261" s="510"/>
      <c r="AQ261" s="510"/>
      <c r="AR261" s="510"/>
      <c r="AS261" s="510"/>
      <c r="AT261" s="510"/>
      <c r="AU261" s="510"/>
      <c r="AV261" s="510"/>
      <c r="AW261" s="510"/>
    </row>
    <row r="262" spans="1:49" s="78" customFormat="1" ht="21" customHeight="1" thickBot="1" x14ac:dyDescent="0.25">
      <c r="A262" s="510" t="str">
        <f>A16</f>
        <v>Pentru seria de studenti 2019-2022</v>
      </c>
      <c r="B262" s="510"/>
      <c r="C262" s="510"/>
      <c r="D262" s="510"/>
      <c r="E262" s="510"/>
      <c r="F262" s="510"/>
      <c r="G262" s="510"/>
      <c r="H262" s="510"/>
      <c r="I262" s="510"/>
      <c r="J262" s="510"/>
      <c r="K262" s="510"/>
      <c r="L262" s="510"/>
      <c r="M262" s="510"/>
      <c r="N262" s="510"/>
      <c r="O262" s="510"/>
      <c r="P262" s="510"/>
      <c r="Q262" s="510"/>
      <c r="R262" s="510"/>
      <c r="S262" s="510"/>
      <c r="T262" s="510"/>
      <c r="U262" s="510"/>
      <c r="V262" s="510"/>
      <c r="W262" s="510"/>
      <c r="X262" s="510"/>
      <c r="Y262" s="510"/>
      <c r="Z262" s="510"/>
      <c r="AA262" s="510"/>
      <c r="AB262" s="510"/>
      <c r="AC262" s="510"/>
      <c r="AD262" s="510"/>
      <c r="AE262" s="510"/>
      <c r="AF262" s="510"/>
      <c r="AG262" s="510"/>
      <c r="AH262" s="510"/>
      <c r="AI262" s="510"/>
      <c r="AJ262" s="510"/>
      <c r="AK262" s="510"/>
      <c r="AL262" s="510"/>
      <c r="AM262" s="510"/>
      <c r="AN262" s="510"/>
      <c r="AO262" s="510"/>
      <c r="AP262" s="510"/>
      <c r="AQ262" s="510"/>
      <c r="AR262" s="510"/>
      <c r="AS262" s="510"/>
      <c r="AT262" s="510"/>
      <c r="AU262" s="510"/>
      <c r="AV262" s="510"/>
      <c r="AW262" s="510"/>
    </row>
    <row r="263" spans="1:49" s="78" customFormat="1" ht="21" customHeight="1" thickTop="1" thickBot="1" x14ac:dyDescent="0.3">
      <c r="B263" s="511" t="str">
        <f>B69</f>
        <v>ANUL III (2021-2022)</v>
      </c>
      <c r="C263" s="512"/>
      <c r="D263" s="512"/>
      <c r="E263" s="512"/>
      <c r="F263" s="512"/>
      <c r="G263" s="512"/>
      <c r="H263" s="512"/>
      <c r="I263" s="512"/>
      <c r="J263" s="512"/>
      <c r="K263" s="512"/>
      <c r="L263" s="512"/>
      <c r="M263" s="512"/>
      <c r="N263" s="512"/>
      <c r="O263" s="512"/>
      <c r="P263" s="512"/>
      <c r="Q263" s="512"/>
      <c r="R263" s="512"/>
      <c r="S263" s="512"/>
      <c r="T263" s="512"/>
      <c r="U263" s="512"/>
      <c r="V263" s="512"/>
      <c r="W263" s="512"/>
      <c r="X263" s="512"/>
      <c r="Y263" s="512"/>
      <c r="Z263" s="524" t="str">
        <f>Z69</f>
        <v>ANUL IV (2022-2023)</v>
      </c>
      <c r="AA263" s="525"/>
      <c r="AB263" s="525"/>
      <c r="AC263" s="525"/>
      <c r="AD263" s="525"/>
      <c r="AE263" s="525"/>
      <c r="AF263" s="525"/>
      <c r="AG263" s="525"/>
      <c r="AH263" s="525"/>
      <c r="AI263" s="525"/>
      <c r="AJ263" s="525"/>
      <c r="AK263" s="525"/>
      <c r="AL263" s="525"/>
      <c r="AM263" s="525"/>
      <c r="AN263" s="525"/>
      <c r="AO263" s="525"/>
      <c r="AP263" s="525"/>
      <c r="AQ263" s="525"/>
      <c r="AR263" s="525"/>
      <c r="AS263" s="525"/>
      <c r="AT263" s="525"/>
      <c r="AU263" s="525"/>
      <c r="AV263" s="525"/>
      <c r="AW263" s="525"/>
    </row>
    <row r="264" spans="1:49" s="75" customFormat="1" ht="21" customHeight="1" thickTop="1" thickBot="1" x14ac:dyDescent="0.3">
      <c r="A264" s="60"/>
      <c r="B264" s="488" t="s">
        <v>76</v>
      </c>
      <c r="C264" s="489"/>
      <c r="D264" s="489"/>
      <c r="E264" s="489"/>
      <c r="F264" s="489"/>
      <c r="G264" s="489"/>
      <c r="H264" s="489"/>
      <c r="I264" s="489"/>
      <c r="J264" s="489"/>
      <c r="K264" s="489"/>
      <c r="L264" s="489"/>
      <c r="M264" s="489"/>
      <c r="N264" s="488" t="s">
        <v>77</v>
      </c>
      <c r="O264" s="489"/>
      <c r="P264" s="489"/>
      <c r="Q264" s="489"/>
      <c r="R264" s="489"/>
      <c r="S264" s="489"/>
      <c r="T264" s="489"/>
      <c r="U264" s="489"/>
      <c r="V264" s="489"/>
      <c r="W264" s="489"/>
      <c r="X264" s="489"/>
      <c r="Y264" s="489"/>
      <c r="Z264" s="488" t="s">
        <v>78</v>
      </c>
      <c r="AA264" s="489"/>
      <c r="AB264" s="489"/>
      <c r="AC264" s="489"/>
      <c r="AD264" s="489"/>
      <c r="AE264" s="489"/>
      <c r="AF264" s="489"/>
      <c r="AG264" s="489"/>
      <c r="AH264" s="489"/>
      <c r="AI264" s="489"/>
      <c r="AJ264" s="489"/>
      <c r="AK264" s="489"/>
      <c r="AL264" s="489" t="s">
        <v>79</v>
      </c>
      <c r="AM264" s="489"/>
      <c r="AN264" s="489"/>
      <c r="AO264" s="489"/>
      <c r="AP264" s="489"/>
      <c r="AQ264" s="489"/>
      <c r="AR264" s="489"/>
      <c r="AS264" s="489"/>
      <c r="AT264" s="489"/>
      <c r="AU264" s="489"/>
      <c r="AV264" s="489"/>
      <c r="AW264" s="489"/>
    </row>
    <row r="265" spans="1:49" s="75" customFormat="1" ht="21" customHeight="1" thickTop="1" x14ac:dyDescent="0.25">
      <c r="A265" s="513" t="s">
        <v>237</v>
      </c>
      <c r="B265" s="501"/>
      <c r="C265" s="502"/>
      <c r="D265" s="502"/>
      <c r="E265" s="502"/>
      <c r="F265" s="502"/>
      <c r="G265" s="502"/>
      <c r="H265" s="502"/>
      <c r="I265" s="502"/>
      <c r="J265" s="502"/>
      <c r="K265" s="502"/>
      <c r="L265" s="502"/>
      <c r="M265" s="503"/>
      <c r="N265" s="501"/>
      <c r="O265" s="502"/>
      <c r="P265" s="502"/>
      <c r="Q265" s="502"/>
      <c r="R265" s="502"/>
      <c r="S265" s="502"/>
      <c r="T265" s="502"/>
      <c r="U265" s="502"/>
      <c r="V265" s="502"/>
      <c r="W265" s="502"/>
      <c r="X265" s="502"/>
      <c r="Y265" s="503"/>
      <c r="Z265" s="501"/>
      <c r="AA265" s="502"/>
      <c r="AB265" s="502"/>
      <c r="AC265" s="502"/>
      <c r="AD265" s="502"/>
      <c r="AE265" s="502"/>
      <c r="AF265" s="502"/>
      <c r="AG265" s="502"/>
      <c r="AH265" s="502"/>
      <c r="AI265" s="502"/>
      <c r="AJ265" s="502"/>
      <c r="AK265" s="503"/>
      <c r="AL265" s="501"/>
      <c r="AM265" s="502"/>
      <c r="AN265" s="502"/>
      <c r="AO265" s="502"/>
      <c r="AP265" s="502"/>
      <c r="AQ265" s="502"/>
      <c r="AR265" s="502"/>
      <c r="AS265" s="502"/>
      <c r="AT265" s="502"/>
      <c r="AU265" s="502"/>
      <c r="AV265" s="502"/>
      <c r="AW265" s="503"/>
    </row>
    <row r="266" spans="1:49" s="75" customFormat="1" ht="21" customHeight="1" x14ac:dyDescent="0.25">
      <c r="A266" s="514"/>
      <c r="B266" s="504"/>
      <c r="C266" s="505"/>
      <c r="D266" s="505"/>
      <c r="E266" s="505"/>
      <c r="F266" s="505"/>
      <c r="G266" s="505"/>
      <c r="H266" s="505"/>
      <c r="I266" s="505"/>
      <c r="J266" s="505"/>
      <c r="K266" s="505"/>
      <c r="L266" s="505"/>
      <c r="M266" s="506"/>
      <c r="N266" s="504"/>
      <c r="O266" s="505"/>
      <c r="P266" s="505"/>
      <c r="Q266" s="505"/>
      <c r="R266" s="505"/>
      <c r="S266" s="505"/>
      <c r="T266" s="505"/>
      <c r="U266" s="505"/>
      <c r="V266" s="505"/>
      <c r="W266" s="505"/>
      <c r="X266" s="505"/>
      <c r="Y266" s="506"/>
      <c r="Z266" s="504"/>
      <c r="AA266" s="505"/>
      <c r="AB266" s="505"/>
      <c r="AC266" s="505"/>
      <c r="AD266" s="505"/>
      <c r="AE266" s="505"/>
      <c r="AF266" s="505"/>
      <c r="AG266" s="505"/>
      <c r="AH266" s="505"/>
      <c r="AI266" s="505"/>
      <c r="AJ266" s="505"/>
      <c r="AK266" s="506"/>
      <c r="AL266" s="504"/>
      <c r="AM266" s="505"/>
      <c r="AN266" s="505"/>
      <c r="AO266" s="505"/>
      <c r="AP266" s="505"/>
      <c r="AQ266" s="505"/>
      <c r="AR266" s="505"/>
      <c r="AS266" s="505"/>
      <c r="AT266" s="505"/>
      <c r="AU266" s="505"/>
      <c r="AV266" s="505"/>
      <c r="AW266" s="506"/>
    </row>
    <row r="267" spans="1:49" s="75" customFormat="1" ht="21" customHeight="1" thickBot="1" x14ac:dyDescent="0.3">
      <c r="A267" s="515"/>
      <c r="B267" s="490" t="str">
        <f>IF(ISBLANK(B265),"",CONCATENATE(LEFT(INDEX(B$71:B$102,MATCH(LEFT(B265,11)&amp;"*",B$71:B$102,0)+2),FIND("-",INDEX(B$71:B$102,MATCH(LEFT(B265,11)&amp;"*",B$71:B$102,0)+2))),$A265))</f>
        <v/>
      </c>
      <c r="C267" s="491"/>
      <c r="D267" s="492"/>
      <c r="E267" s="309"/>
      <c r="F267" s="203"/>
      <c r="G267" s="199"/>
      <c r="H267" s="201"/>
      <c r="I267" s="201"/>
      <c r="J267" s="200"/>
      <c r="K267" s="202"/>
      <c r="L267" s="202"/>
      <c r="M267" s="203"/>
      <c r="N267" s="490" t="str">
        <f>IF(ISBLANK(N265),"",CONCATENATE(LEFT(INDEX(N$71:N$102,MATCH(LEFT(N265,11)&amp;"*",N$71:N$102,0)+2),FIND("-",INDEX(N$71:N$102,MATCH(LEFT(N265,11)&amp;"*",N$71:N$102,0)+2))),$A265))</f>
        <v/>
      </c>
      <c r="O267" s="491"/>
      <c r="P267" s="492"/>
      <c r="Q267" s="309"/>
      <c r="R267" s="203"/>
      <c r="S267" s="199"/>
      <c r="T267" s="201"/>
      <c r="U267" s="201"/>
      <c r="V267" s="200"/>
      <c r="W267" s="202"/>
      <c r="X267" s="202"/>
      <c r="Y267" s="203"/>
      <c r="Z267" s="490" t="str">
        <f>IF(ISBLANK(Z265),"",CONCATENATE(LEFT(INDEX(Z$71:Z$102,MATCH(LEFT(Z265,11)&amp;"*",Z$71:Z$102,0)+2),FIND("-",INDEX(Z$71:Z$102,MATCH(LEFT(Z265,11)&amp;"*",Z$71:Z$102,0)+2))),$A265))</f>
        <v/>
      </c>
      <c r="AA267" s="491"/>
      <c r="AB267" s="492"/>
      <c r="AC267" s="364"/>
      <c r="AD267" s="365"/>
      <c r="AE267" s="366"/>
      <c r="AF267" s="367"/>
      <c r="AG267" s="367"/>
      <c r="AH267" s="368"/>
      <c r="AI267" s="365"/>
      <c r="AJ267" s="429"/>
      <c r="AK267" s="187"/>
      <c r="AL267" s="490" t="str">
        <f>IF(ISBLANK(AL265),"",CONCATENATE(LEFT(INDEX(AL$71:AL$102,MATCH(LEFT(AL265,11)&amp;"*",AL$71:AL$102,0)+2),FIND("-",INDEX(AL$71:AL$102,MATCH(LEFT(AL265,11)&amp;"*",AL$71:AL$102,0)+2))),$A265))</f>
        <v/>
      </c>
      <c r="AM267" s="491"/>
      <c r="AN267" s="492"/>
      <c r="AO267" s="309"/>
      <c r="AP267" s="203"/>
      <c r="AQ267" s="199"/>
      <c r="AR267" s="201"/>
      <c r="AS267" s="201"/>
      <c r="AT267" s="200"/>
      <c r="AU267" s="202"/>
      <c r="AV267" s="202"/>
      <c r="AW267" s="203"/>
    </row>
    <row r="268" spans="1:49" s="75" customFormat="1" ht="21" customHeight="1" thickTop="1" x14ac:dyDescent="0.25">
      <c r="A268" s="513" t="s">
        <v>238</v>
      </c>
      <c r="B268" s="501"/>
      <c r="C268" s="502"/>
      <c r="D268" s="502"/>
      <c r="E268" s="502"/>
      <c r="F268" s="502"/>
      <c r="G268" s="502"/>
      <c r="H268" s="502"/>
      <c r="I268" s="502"/>
      <c r="J268" s="502"/>
      <c r="K268" s="502"/>
      <c r="L268" s="502"/>
      <c r="M268" s="503"/>
      <c r="N268" s="501"/>
      <c r="O268" s="502"/>
      <c r="P268" s="502"/>
      <c r="Q268" s="502"/>
      <c r="R268" s="502"/>
      <c r="S268" s="502"/>
      <c r="T268" s="502"/>
      <c r="U268" s="502"/>
      <c r="V268" s="502"/>
      <c r="W268" s="502"/>
      <c r="X268" s="502"/>
      <c r="Y268" s="503"/>
      <c r="Z268" s="501"/>
      <c r="AA268" s="502"/>
      <c r="AB268" s="502"/>
      <c r="AC268" s="502"/>
      <c r="AD268" s="502"/>
      <c r="AE268" s="502"/>
      <c r="AF268" s="502"/>
      <c r="AG268" s="502"/>
      <c r="AH268" s="502"/>
      <c r="AI268" s="502"/>
      <c r="AJ268" s="502"/>
      <c r="AK268" s="503"/>
      <c r="AL268" s="501"/>
      <c r="AM268" s="502"/>
      <c r="AN268" s="502"/>
      <c r="AO268" s="502"/>
      <c r="AP268" s="502"/>
      <c r="AQ268" s="502"/>
      <c r="AR268" s="502"/>
      <c r="AS268" s="502"/>
      <c r="AT268" s="502"/>
      <c r="AU268" s="502"/>
      <c r="AV268" s="502"/>
      <c r="AW268" s="503"/>
    </row>
    <row r="269" spans="1:49" s="75" customFormat="1" ht="21" customHeight="1" x14ac:dyDescent="0.25">
      <c r="A269" s="514"/>
      <c r="B269" s="504"/>
      <c r="C269" s="505"/>
      <c r="D269" s="505"/>
      <c r="E269" s="505"/>
      <c r="F269" s="505"/>
      <c r="G269" s="505"/>
      <c r="H269" s="505"/>
      <c r="I269" s="505"/>
      <c r="J269" s="505"/>
      <c r="K269" s="505"/>
      <c r="L269" s="505"/>
      <c r="M269" s="506"/>
      <c r="N269" s="504"/>
      <c r="O269" s="505"/>
      <c r="P269" s="505"/>
      <c r="Q269" s="505"/>
      <c r="R269" s="505"/>
      <c r="S269" s="505"/>
      <c r="T269" s="505"/>
      <c r="U269" s="505"/>
      <c r="V269" s="505"/>
      <c r="W269" s="505"/>
      <c r="X269" s="505"/>
      <c r="Y269" s="506"/>
      <c r="Z269" s="504"/>
      <c r="AA269" s="505"/>
      <c r="AB269" s="505"/>
      <c r="AC269" s="505"/>
      <c r="AD269" s="505"/>
      <c r="AE269" s="505"/>
      <c r="AF269" s="505"/>
      <c r="AG269" s="505"/>
      <c r="AH269" s="505"/>
      <c r="AI269" s="505"/>
      <c r="AJ269" s="505"/>
      <c r="AK269" s="506"/>
      <c r="AL269" s="504"/>
      <c r="AM269" s="505"/>
      <c r="AN269" s="505"/>
      <c r="AO269" s="505"/>
      <c r="AP269" s="505"/>
      <c r="AQ269" s="505"/>
      <c r="AR269" s="505"/>
      <c r="AS269" s="505"/>
      <c r="AT269" s="505"/>
      <c r="AU269" s="505"/>
      <c r="AV269" s="505"/>
      <c r="AW269" s="506"/>
    </row>
    <row r="270" spans="1:49" s="75" customFormat="1" ht="21" customHeight="1" thickBot="1" x14ac:dyDescent="0.3">
      <c r="A270" s="515"/>
      <c r="B270" s="490" t="str">
        <f>IF(ISBLANK(B268),"",CONCATENATE(LEFT(INDEX(B$71:B$102,MATCH(LEFT(B268,11)&amp;"*",B$71:B$102,0)+2),FIND("-",INDEX(B$71:B$102,MATCH(LEFT(B268,11)&amp;"*",B$71:B$102,0)+2))),A268))</f>
        <v/>
      </c>
      <c r="C270" s="491"/>
      <c r="D270" s="492"/>
      <c r="E270" s="309"/>
      <c r="F270" s="203"/>
      <c r="G270" s="199"/>
      <c r="H270" s="201"/>
      <c r="I270" s="201"/>
      <c r="J270" s="200"/>
      <c r="K270" s="202"/>
      <c r="L270" s="202"/>
      <c r="M270" s="203"/>
      <c r="N270" s="490" t="str">
        <f>IF(ISBLANK(N268),"",CONCATENATE(LEFT(INDEX(N$71:N$102,MATCH(LEFT(N268,11)&amp;"*",N$71:N$102,0)+2),FIND("-",INDEX(N$71:N$102,MATCH(LEFT(N268,11)&amp;"*",N$71:N$102,0)+2))),$A268))</f>
        <v/>
      </c>
      <c r="O270" s="491"/>
      <c r="P270" s="492"/>
      <c r="Q270" s="309"/>
      <c r="R270" s="203"/>
      <c r="S270" s="199"/>
      <c r="T270" s="201"/>
      <c r="U270" s="201"/>
      <c r="V270" s="200"/>
      <c r="W270" s="202"/>
      <c r="X270" s="202"/>
      <c r="Y270" s="203"/>
      <c r="Z270" s="490" t="str">
        <f>IF(ISBLANK(Z268),"",CONCATENATE(LEFT(INDEX(Z$71:Z$102,MATCH(LEFT(Z268,11)&amp;"*",Z$71:Z$102,0)+2),FIND("-",INDEX(Z$71:Z$102,MATCH(LEFT(Z268,11)&amp;"*",Z$71:Z$102,0)+2))),$A268))</f>
        <v/>
      </c>
      <c r="AA270" s="491"/>
      <c r="AB270" s="492"/>
      <c r="AC270" s="309"/>
      <c r="AD270" s="203"/>
      <c r="AE270" s="199"/>
      <c r="AF270" s="201"/>
      <c r="AG270" s="201"/>
      <c r="AH270" s="200"/>
      <c r="AI270" s="202"/>
      <c r="AJ270" s="202"/>
      <c r="AK270" s="203"/>
      <c r="AL270" s="490" t="str">
        <f>IF(ISBLANK(AL268),"",CONCATENATE(LEFT(INDEX(AL$71:AL$102,MATCH(LEFT(AL268,11)&amp;"*",AL$71:AL$102,0)+2),FIND("-",INDEX(AL$71:AL$102,MATCH(LEFT(AL268,11)&amp;"*",AL$71:AL$102,0)+2))),$A268))</f>
        <v/>
      </c>
      <c r="AM270" s="491"/>
      <c r="AN270" s="492"/>
      <c r="AO270" s="309"/>
      <c r="AP270" s="203"/>
      <c r="AQ270" s="199"/>
      <c r="AR270" s="201"/>
      <c r="AS270" s="201"/>
      <c r="AT270" s="200"/>
      <c r="AU270" s="202"/>
      <c r="AV270" s="202"/>
      <c r="AW270" s="203"/>
    </row>
    <row r="271" spans="1:49" s="75" customFormat="1" ht="21" customHeight="1" thickTop="1" x14ac:dyDescent="0.25">
      <c r="A271" s="513" t="s">
        <v>239</v>
      </c>
      <c r="B271" s="501"/>
      <c r="C271" s="502"/>
      <c r="D271" s="502"/>
      <c r="E271" s="502"/>
      <c r="F271" s="502"/>
      <c r="G271" s="502"/>
      <c r="H271" s="502"/>
      <c r="I271" s="502"/>
      <c r="J271" s="502"/>
      <c r="K271" s="502"/>
      <c r="L271" s="502"/>
      <c r="M271" s="503"/>
      <c r="N271" s="501"/>
      <c r="O271" s="502"/>
      <c r="P271" s="502"/>
      <c r="Q271" s="502"/>
      <c r="R271" s="502"/>
      <c r="S271" s="502"/>
      <c r="T271" s="502"/>
      <c r="U271" s="502"/>
      <c r="V271" s="502"/>
      <c r="W271" s="502"/>
      <c r="X271" s="502"/>
      <c r="Y271" s="503"/>
      <c r="Z271" s="501"/>
      <c r="AA271" s="502"/>
      <c r="AB271" s="502"/>
      <c r="AC271" s="502"/>
      <c r="AD271" s="502"/>
      <c r="AE271" s="502"/>
      <c r="AF271" s="502"/>
      <c r="AG271" s="502"/>
      <c r="AH271" s="502"/>
      <c r="AI271" s="502"/>
      <c r="AJ271" s="502"/>
      <c r="AK271" s="503"/>
      <c r="AL271" s="501"/>
      <c r="AM271" s="502"/>
      <c r="AN271" s="502"/>
      <c r="AO271" s="502"/>
      <c r="AP271" s="502"/>
      <c r="AQ271" s="502"/>
      <c r="AR271" s="502"/>
      <c r="AS271" s="502"/>
      <c r="AT271" s="502"/>
      <c r="AU271" s="502"/>
      <c r="AV271" s="502"/>
      <c r="AW271" s="503"/>
    </row>
    <row r="272" spans="1:49" s="75" customFormat="1" ht="21" customHeight="1" x14ac:dyDescent="0.25">
      <c r="A272" s="514"/>
      <c r="B272" s="504"/>
      <c r="C272" s="505"/>
      <c r="D272" s="505"/>
      <c r="E272" s="505"/>
      <c r="F272" s="505"/>
      <c r="G272" s="505"/>
      <c r="H272" s="505"/>
      <c r="I272" s="505"/>
      <c r="J272" s="505"/>
      <c r="K272" s="505"/>
      <c r="L272" s="505"/>
      <c r="M272" s="506"/>
      <c r="N272" s="504"/>
      <c r="O272" s="505"/>
      <c r="P272" s="505"/>
      <c r="Q272" s="505"/>
      <c r="R272" s="505"/>
      <c r="S272" s="505"/>
      <c r="T272" s="505"/>
      <c r="U272" s="505"/>
      <c r="V272" s="505"/>
      <c r="W272" s="505"/>
      <c r="X272" s="505"/>
      <c r="Y272" s="506"/>
      <c r="Z272" s="504"/>
      <c r="AA272" s="505"/>
      <c r="AB272" s="505"/>
      <c r="AC272" s="505"/>
      <c r="AD272" s="505"/>
      <c r="AE272" s="505"/>
      <c r="AF272" s="505"/>
      <c r="AG272" s="505"/>
      <c r="AH272" s="505"/>
      <c r="AI272" s="505"/>
      <c r="AJ272" s="505"/>
      <c r="AK272" s="506"/>
      <c r="AL272" s="504"/>
      <c r="AM272" s="505"/>
      <c r="AN272" s="505"/>
      <c r="AO272" s="505"/>
      <c r="AP272" s="505"/>
      <c r="AQ272" s="505"/>
      <c r="AR272" s="505"/>
      <c r="AS272" s="505"/>
      <c r="AT272" s="505"/>
      <c r="AU272" s="505"/>
      <c r="AV272" s="505"/>
      <c r="AW272" s="506"/>
    </row>
    <row r="273" spans="1:49" s="75" customFormat="1" ht="21" customHeight="1" thickBot="1" x14ac:dyDescent="0.3">
      <c r="A273" s="515"/>
      <c r="B273" s="490" t="str">
        <f>IF(ISBLANK(B271),"",CONCATENATE(LEFT(INDEX(B$71:B$102,MATCH(LEFT(B271,11)&amp;"*",B$71:B$102,0)+2),FIND("-",INDEX(B$71:B$102,MATCH(LEFT(B271,11)&amp;"*",B$71:B$102,0)+2))),A271))</f>
        <v/>
      </c>
      <c r="C273" s="491"/>
      <c r="D273" s="492"/>
      <c r="E273" s="309"/>
      <c r="F273" s="203"/>
      <c r="G273" s="199"/>
      <c r="H273" s="201"/>
      <c r="I273" s="201"/>
      <c r="J273" s="200"/>
      <c r="K273" s="202"/>
      <c r="L273" s="202"/>
      <c r="M273" s="203"/>
      <c r="N273" s="490" t="str">
        <f>IF(ISBLANK(N271),"",CONCATENATE(LEFT(INDEX(N$71:N$102,MATCH(LEFT(N271,11)&amp;"*",N$71:N$102,0)+2),FIND("-",INDEX(N$71:N$102,MATCH(LEFT(N271,11)&amp;"*",N$71:N$102,0)+2))),$A271))</f>
        <v/>
      </c>
      <c r="O273" s="491"/>
      <c r="P273" s="492"/>
      <c r="Q273" s="309"/>
      <c r="R273" s="203"/>
      <c r="S273" s="199"/>
      <c r="T273" s="201"/>
      <c r="U273" s="201"/>
      <c r="V273" s="200"/>
      <c r="W273" s="202"/>
      <c r="X273" s="202"/>
      <c r="Y273" s="203"/>
      <c r="Z273" s="490" t="str">
        <f>IF(ISBLANK(Z271),"",CONCATENATE(LEFT(INDEX(Z$71:Z$102,MATCH(LEFT(Z271,11)&amp;"*",Z$71:Z$102,0)+2),FIND("-",INDEX(Z$71:Z$102,MATCH(LEFT(Z271,11)&amp;"*",Z$71:Z$102,0)+2))),$A271))</f>
        <v/>
      </c>
      <c r="AA273" s="491"/>
      <c r="AB273" s="492"/>
      <c r="AC273" s="309"/>
      <c r="AD273" s="203"/>
      <c r="AE273" s="199"/>
      <c r="AF273" s="201"/>
      <c r="AG273" s="201"/>
      <c r="AH273" s="200"/>
      <c r="AI273" s="202"/>
      <c r="AJ273" s="202"/>
      <c r="AK273" s="203"/>
      <c r="AL273" s="490" t="str">
        <f>IF(ISBLANK(AL271),"",CONCATENATE(LEFT(INDEX(AL$71:AL$102,MATCH(LEFT(AL271,11)&amp;"*",AL$71:AL$102,0)+2),FIND("-",INDEX(AL$71:AL$102,MATCH(LEFT(AL271,11)&amp;"*",AL$71:AL$102,0)+2))),$A271))</f>
        <v/>
      </c>
      <c r="AM273" s="491"/>
      <c r="AN273" s="492"/>
      <c r="AO273" s="309"/>
      <c r="AP273" s="203"/>
      <c r="AQ273" s="199"/>
      <c r="AR273" s="201"/>
      <c r="AS273" s="201"/>
      <c r="AT273" s="200"/>
      <c r="AU273" s="202"/>
      <c r="AV273" s="202"/>
      <c r="AW273" s="203"/>
    </row>
    <row r="274" spans="1:49" s="75" customFormat="1" ht="21" customHeight="1" thickTop="1" x14ac:dyDescent="0.25">
      <c r="A274" s="513" t="s">
        <v>240</v>
      </c>
      <c r="B274" s="501"/>
      <c r="C274" s="502"/>
      <c r="D274" s="502"/>
      <c r="E274" s="502"/>
      <c r="F274" s="502"/>
      <c r="G274" s="502"/>
      <c r="H274" s="502"/>
      <c r="I274" s="502"/>
      <c r="J274" s="502"/>
      <c r="K274" s="502"/>
      <c r="L274" s="502"/>
      <c r="M274" s="503"/>
      <c r="N274" s="501"/>
      <c r="O274" s="502"/>
      <c r="P274" s="502"/>
      <c r="Q274" s="502"/>
      <c r="R274" s="502"/>
      <c r="S274" s="502"/>
      <c r="T274" s="502"/>
      <c r="U274" s="502"/>
      <c r="V274" s="502"/>
      <c r="W274" s="502"/>
      <c r="X274" s="502"/>
      <c r="Y274" s="503"/>
      <c r="Z274" s="501"/>
      <c r="AA274" s="502"/>
      <c r="AB274" s="502"/>
      <c r="AC274" s="502"/>
      <c r="AD274" s="502"/>
      <c r="AE274" s="502"/>
      <c r="AF274" s="502"/>
      <c r="AG274" s="502"/>
      <c r="AH274" s="502"/>
      <c r="AI274" s="502"/>
      <c r="AJ274" s="502"/>
      <c r="AK274" s="503"/>
      <c r="AL274" s="501"/>
      <c r="AM274" s="502"/>
      <c r="AN274" s="502"/>
      <c r="AO274" s="502"/>
      <c r="AP274" s="502"/>
      <c r="AQ274" s="502"/>
      <c r="AR274" s="502"/>
      <c r="AS274" s="502"/>
      <c r="AT274" s="502"/>
      <c r="AU274" s="502"/>
      <c r="AV274" s="502"/>
      <c r="AW274" s="503"/>
    </row>
    <row r="275" spans="1:49" s="75" customFormat="1" ht="21" customHeight="1" x14ac:dyDescent="0.25">
      <c r="A275" s="514"/>
      <c r="B275" s="504"/>
      <c r="C275" s="505"/>
      <c r="D275" s="505"/>
      <c r="E275" s="505"/>
      <c r="F275" s="505"/>
      <c r="G275" s="505"/>
      <c r="H275" s="505"/>
      <c r="I275" s="505"/>
      <c r="J275" s="505"/>
      <c r="K275" s="505"/>
      <c r="L275" s="505"/>
      <c r="M275" s="506"/>
      <c r="N275" s="504"/>
      <c r="O275" s="505"/>
      <c r="P275" s="505"/>
      <c r="Q275" s="505"/>
      <c r="R275" s="505"/>
      <c r="S275" s="505"/>
      <c r="T275" s="505"/>
      <c r="U275" s="505"/>
      <c r="V275" s="505"/>
      <c r="W275" s="505"/>
      <c r="X275" s="505"/>
      <c r="Y275" s="506"/>
      <c r="Z275" s="504"/>
      <c r="AA275" s="505"/>
      <c r="AB275" s="505"/>
      <c r="AC275" s="505"/>
      <c r="AD275" s="505"/>
      <c r="AE275" s="505"/>
      <c r="AF275" s="505"/>
      <c r="AG275" s="505"/>
      <c r="AH275" s="505"/>
      <c r="AI275" s="505"/>
      <c r="AJ275" s="505"/>
      <c r="AK275" s="506"/>
      <c r="AL275" s="504"/>
      <c r="AM275" s="505"/>
      <c r="AN275" s="505"/>
      <c r="AO275" s="505"/>
      <c r="AP275" s="505"/>
      <c r="AQ275" s="505"/>
      <c r="AR275" s="505"/>
      <c r="AS275" s="505"/>
      <c r="AT275" s="505"/>
      <c r="AU275" s="505"/>
      <c r="AV275" s="505"/>
      <c r="AW275" s="506"/>
    </row>
    <row r="276" spans="1:49" s="75" customFormat="1" ht="21" customHeight="1" thickBot="1" x14ac:dyDescent="0.3">
      <c r="A276" s="515"/>
      <c r="B276" s="490" t="str">
        <f>IF(ISBLANK(B274),"",CONCATENATE(LEFT(INDEX(B$71:B$102,MATCH(LEFT(B274,11)&amp;"*",B$71:B$102,0)+2),FIND("-",INDEX(B$71:B$102,MATCH(LEFT(B274,11)&amp;"*",B$71:B$102,0)+2))),A274))</f>
        <v/>
      </c>
      <c r="C276" s="491"/>
      <c r="D276" s="492"/>
      <c r="E276" s="309"/>
      <c r="F276" s="203"/>
      <c r="G276" s="199"/>
      <c r="H276" s="201"/>
      <c r="I276" s="201"/>
      <c r="J276" s="200"/>
      <c r="K276" s="202"/>
      <c r="L276" s="202"/>
      <c r="M276" s="203"/>
      <c r="N276" s="490" t="str">
        <f>IF(ISBLANK(N274),"",CONCATENATE(LEFT(INDEX(N$71:N$102,MATCH(LEFT(N274,11)&amp;"*",N$71:N$102,0)+2),FIND("-",INDEX(N$71:N$102,MATCH(LEFT(N274,11)&amp;"*",N$71:N$102,0)+2))),$A274))</f>
        <v/>
      </c>
      <c r="O276" s="491"/>
      <c r="P276" s="492"/>
      <c r="Q276" s="309"/>
      <c r="R276" s="203"/>
      <c r="S276" s="199"/>
      <c r="T276" s="201"/>
      <c r="U276" s="201"/>
      <c r="V276" s="200"/>
      <c r="W276" s="202"/>
      <c r="X276" s="202"/>
      <c r="Y276" s="203"/>
      <c r="Z276" s="490" t="str">
        <f>IF(ISBLANK(Z274),"",CONCATENATE(LEFT(INDEX(Z$71:Z$102,MATCH(LEFT(Z274,11)&amp;"*",Z$71:Z$102,0)+2),FIND("-",INDEX(Z$71:Z$102,MATCH(LEFT(Z274,11)&amp;"*",Z$71:Z$102,0)+2))),$A274))</f>
        <v/>
      </c>
      <c r="AA276" s="491"/>
      <c r="AB276" s="492"/>
      <c r="AC276" s="309"/>
      <c r="AD276" s="203"/>
      <c r="AE276" s="199"/>
      <c r="AF276" s="201"/>
      <c r="AG276" s="201"/>
      <c r="AH276" s="200"/>
      <c r="AI276" s="202"/>
      <c r="AJ276" s="202"/>
      <c r="AK276" s="203"/>
      <c r="AL276" s="490" t="str">
        <f>IF(ISBLANK(AL274),"",CONCATENATE(LEFT(INDEX(AL$71:AL$102,MATCH(LEFT(AL274,11)&amp;"*",AL$71:AL$102,0)+2),FIND("-",INDEX(AL$71:AL$102,MATCH(LEFT(AL274,11)&amp;"*",AL$71:AL$102,0)+2))),$A274))</f>
        <v/>
      </c>
      <c r="AM276" s="491"/>
      <c r="AN276" s="492"/>
      <c r="AO276" s="309"/>
      <c r="AP276" s="203"/>
      <c r="AQ276" s="199"/>
      <c r="AR276" s="201"/>
      <c r="AS276" s="201"/>
      <c r="AT276" s="200"/>
      <c r="AU276" s="202"/>
      <c r="AV276" s="202"/>
      <c r="AW276" s="203"/>
    </row>
    <row r="277" spans="1:49" s="75" customFormat="1" ht="21" customHeight="1" thickTop="1" x14ac:dyDescent="0.25">
      <c r="A277" s="513" t="s">
        <v>241</v>
      </c>
      <c r="B277" s="501"/>
      <c r="C277" s="502"/>
      <c r="D277" s="502"/>
      <c r="E277" s="502"/>
      <c r="F277" s="502"/>
      <c r="G277" s="502"/>
      <c r="H277" s="502"/>
      <c r="I277" s="502"/>
      <c r="J277" s="502"/>
      <c r="K277" s="502"/>
      <c r="L277" s="502"/>
      <c r="M277" s="503"/>
      <c r="N277" s="501"/>
      <c r="O277" s="502"/>
      <c r="P277" s="502"/>
      <c r="Q277" s="502"/>
      <c r="R277" s="502"/>
      <c r="S277" s="502"/>
      <c r="T277" s="502"/>
      <c r="U277" s="502"/>
      <c r="V277" s="502"/>
      <c r="W277" s="502"/>
      <c r="X277" s="502"/>
      <c r="Y277" s="503"/>
      <c r="Z277" s="501"/>
      <c r="AA277" s="502"/>
      <c r="AB277" s="502"/>
      <c r="AC277" s="502"/>
      <c r="AD277" s="502"/>
      <c r="AE277" s="502"/>
      <c r="AF277" s="502"/>
      <c r="AG277" s="502"/>
      <c r="AH277" s="502"/>
      <c r="AI277" s="502"/>
      <c r="AJ277" s="502"/>
      <c r="AK277" s="503"/>
      <c r="AL277" s="501"/>
      <c r="AM277" s="502"/>
      <c r="AN277" s="502"/>
      <c r="AO277" s="502"/>
      <c r="AP277" s="502"/>
      <c r="AQ277" s="502"/>
      <c r="AR277" s="502"/>
      <c r="AS277" s="502"/>
      <c r="AT277" s="502"/>
      <c r="AU277" s="502"/>
      <c r="AV277" s="502"/>
      <c r="AW277" s="503"/>
    </row>
    <row r="278" spans="1:49" s="75" customFormat="1" ht="21" customHeight="1" x14ac:dyDescent="0.25">
      <c r="A278" s="514"/>
      <c r="B278" s="504"/>
      <c r="C278" s="505"/>
      <c r="D278" s="505"/>
      <c r="E278" s="505"/>
      <c r="F278" s="505"/>
      <c r="G278" s="505"/>
      <c r="H278" s="505"/>
      <c r="I278" s="505"/>
      <c r="J278" s="505"/>
      <c r="K278" s="505"/>
      <c r="L278" s="505"/>
      <c r="M278" s="506"/>
      <c r="N278" s="504"/>
      <c r="O278" s="505"/>
      <c r="P278" s="505"/>
      <c r="Q278" s="505"/>
      <c r="R278" s="505"/>
      <c r="S278" s="505"/>
      <c r="T278" s="505"/>
      <c r="U278" s="505"/>
      <c r="V278" s="505"/>
      <c r="W278" s="505"/>
      <c r="X278" s="505"/>
      <c r="Y278" s="506"/>
      <c r="Z278" s="504"/>
      <c r="AA278" s="505"/>
      <c r="AB278" s="505"/>
      <c r="AC278" s="505"/>
      <c r="AD278" s="505"/>
      <c r="AE278" s="505"/>
      <c r="AF278" s="505"/>
      <c r="AG278" s="505"/>
      <c r="AH278" s="505"/>
      <c r="AI278" s="505"/>
      <c r="AJ278" s="505"/>
      <c r="AK278" s="506"/>
      <c r="AL278" s="504"/>
      <c r="AM278" s="505"/>
      <c r="AN278" s="505"/>
      <c r="AO278" s="505"/>
      <c r="AP278" s="505"/>
      <c r="AQ278" s="505"/>
      <c r="AR278" s="505"/>
      <c r="AS278" s="505"/>
      <c r="AT278" s="505"/>
      <c r="AU278" s="505"/>
      <c r="AV278" s="505"/>
      <c r="AW278" s="506"/>
    </row>
    <row r="279" spans="1:49" s="75" customFormat="1" ht="21" customHeight="1" thickBot="1" x14ac:dyDescent="0.3">
      <c r="A279" s="515"/>
      <c r="B279" s="490" t="str">
        <f>IF(ISBLANK(B277),"",CONCATENATE(LEFT(INDEX(B$71:B$102,MATCH(LEFT(B277,11)&amp;"*",B$71:B$102,0)+2),FIND("-",INDEX(B$71:B$102,MATCH(LEFT(B277,11)&amp;"*",B$71:B$102,0)+2))),A277))</f>
        <v/>
      </c>
      <c r="C279" s="491"/>
      <c r="D279" s="492"/>
      <c r="E279" s="193"/>
      <c r="F279" s="194"/>
      <c r="G279" s="195"/>
      <c r="H279" s="196"/>
      <c r="I279" s="196"/>
      <c r="J279" s="197"/>
      <c r="K279" s="198"/>
      <c r="L279" s="198"/>
      <c r="M279" s="198"/>
      <c r="N279" s="490" t="str">
        <f>IF(ISBLANK(N277),"",CONCATENATE(LEFT(INDEX(N$71:N$102,MATCH(LEFT(N277,11)&amp;"*",N$71:N$102,0)+2),FIND("-",INDEX(N$71:N$102,MATCH(LEFT(N277,11)&amp;"*",N$71:N$102,0)+2))),$A277))</f>
        <v/>
      </c>
      <c r="O279" s="491"/>
      <c r="P279" s="492"/>
      <c r="Q279" s="193"/>
      <c r="R279" s="194"/>
      <c r="S279" s="195"/>
      <c r="T279" s="196"/>
      <c r="U279" s="196"/>
      <c r="V279" s="197"/>
      <c r="W279" s="198"/>
      <c r="X279" s="194"/>
      <c r="Y279" s="198"/>
      <c r="Z279" s="490" t="str">
        <f>IF(ISBLANK(Z277),"",CONCATENATE(LEFT(INDEX(Z$71:Z$102,MATCH(LEFT(Z277,11)&amp;"*",Z$71:Z$102,0)+2),FIND("-",INDEX(Z$71:Z$102,MATCH(LEFT(Z277,11)&amp;"*",Z$71:Z$102,0)+2))),$A277))</f>
        <v/>
      </c>
      <c r="AA279" s="491"/>
      <c r="AB279" s="492"/>
      <c r="AC279" s="309"/>
      <c r="AD279" s="203"/>
      <c r="AE279" s="199"/>
      <c r="AF279" s="201"/>
      <c r="AG279" s="201"/>
      <c r="AH279" s="200"/>
      <c r="AI279" s="202"/>
      <c r="AJ279" s="202"/>
      <c r="AK279" s="203"/>
      <c r="AL279" s="490" t="str">
        <f>IF(ISBLANK(AL277),"",CONCATENATE(LEFT(INDEX(AL$71:AL$102,MATCH(LEFT(AL277,11)&amp;"*",AL$71:AL$102,0)+2),FIND("-",INDEX(AL$71:AL$102,MATCH(LEFT(AL277,11)&amp;"*",AL$71:AL$102,0)+2))),$A277))</f>
        <v/>
      </c>
      <c r="AM279" s="491"/>
      <c r="AN279" s="492"/>
      <c r="AO279" s="309"/>
      <c r="AP279" s="203"/>
      <c r="AQ279" s="204"/>
      <c r="AR279" s="201"/>
      <c r="AS279" s="201"/>
      <c r="AT279" s="200"/>
      <c r="AU279" s="202"/>
      <c r="AV279" s="202"/>
      <c r="AW279" s="203"/>
    </row>
    <row r="280" spans="1:49" s="75" customFormat="1" ht="21" customHeight="1" thickTop="1" x14ac:dyDescent="0.25">
      <c r="A280" s="513" t="s">
        <v>242</v>
      </c>
      <c r="B280" s="501"/>
      <c r="C280" s="502"/>
      <c r="D280" s="502"/>
      <c r="E280" s="502"/>
      <c r="F280" s="502"/>
      <c r="G280" s="502"/>
      <c r="H280" s="502"/>
      <c r="I280" s="502"/>
      <c r="J280" s="502"/>
      <c r="K280" s="502"/>
      <c r="L280" s="502"/>
      <c r="M280" s="503"/>
      <c r="N280" s="501"/>
      <c r="O280" s="502"/>
      <c r="P280" s="502"/>
      <c r="Q280" s="502"/>
      <c r="R280" s="502"/>
      <c r="S280" s="502"/>
      <c r="T280" s="502"/>
      <c r="U280" s="502"/>
      <c r="V280" s="502"/>
      <c r="W280" s="502"/>
      <c r="X280" s="502"/>
      <c r="Y280" s="503"/>
      <c r="Z280" s="501"/>
      <c r="AA280" s="502"/>
      <c r="AB280" s="502"/>
      <c r="AC280" s="502"/>
      <c r="AD280" s="502"/>
      <c r="AE280" s="502"/>
      <c r="AF280" s="502"/>
      <c r="AG280" s="502"/>
      <c r="AH280" s="502"/>
      <c r="AI280" s="502"/>
      <c r="AJ280" s="502"/>
      <c r="AK280" s="503"/>
      <c r="AL280" s="501"/>
      <c r="AM280" s="502"/>
      <c r="AN280" s="502"/>
      <c r="AO280" s="502"/>
      <c r="AP280" s="502"/>
      <c r="AQ280" s="502"/>
      <c r="AR280" s="502"/>
      <c r="AS280" s="502"/>
      <c r="AT280" s="502"/>
      <c r="AU280" s="502"/>
      <c r="AV280" s="502"/>
      <c r="AW280" s="503"/>
    </row>
    <row r="281" spans="1:49" s="75" customFormat="1" ht="21" customHeight="1" x14ac:dyDescent="0.25">
      <c r="A281" s="514"/>
      <c r="B281" s="504"/>
      <c r="C281" s="505"/>
      <c r="D281" s="505"/>
      <c r="E281" s="505"/>
      <c r="F281" s="505"/>
      <c r="G281" s="505"/>
      <c r="H281" s="505"/>
      <c r="I281" s="505"/>
      <c r="J281" s="505"/>
      <c r="K281" s="505"/>
      <c r="L281" s="505"/>
      <c r="M281" s="506"/>
      <c r="N281" s="504"/>
      <c r="O281" s="505"/>
      <c r="P281" s="505"/>
      <c r="Q281" s="505"/>
      <c r="R281" s="505"/>
      <c r="S281" s="505"/>
      <c r="T281" s="505"/>
      <c r="U281" s="505"/>
      <c r="V281" s="505"/>
      <c r="W281" s="505"/>
      <c r="X281" s="505"/>
      <c r="Y281" s="506"/>
      <c r="Z281" s="504"/>
      <c r="AA281" s="505"/>
      <c r="AB281" s="505"/>
      <c r="AC281" s="505"/>
      <c r="AD281" s="505"/>
      <c r="AE281" s="505"/>
      <c r="AF281" s="505"/>
      <c r="AG281" s="505"/>
      <c r="AH281" s="505"/>
      <c r="AI281" s="505"/>
      <c r="AJ281" s="505"/>
      <c r="AK281" s="506"/>
      <c r="AL281" s="504"/>
      <c r="AM281" s="505"/>
      <c r="AN281" s="505"/>
      <c r="AO281" s="505"/>
      <c r="AP281" s="505"/>
      <c r="AQ281" s="505"/>
      <c r="AR281" s="505"/>
      <c r="AS281" s="505"/>
      <c r="AT281" s="505"/>
      <c r="AU281" s="505"/>
      <c r="AV281" s="505"/>
      <c r="AW281" s="506"/>
    </row>
    <row r="282" spans="1:49" s="75" customFormat="1" ht="21" customHeight="1" thickBot="1" x14ac:dyDescent="0.3">
      <c r="A282" s="515"/>
      <c r="B282" s="490" t="str">
        <f>IF(ISBLANK(B280),"",CONCATENATE(LEFT(INDEX(B$71:B$102,MATCH(LEFT(B280,11)&amp;"*",B$71:B$102,0)+2),FIND("-",INDEX(B$71:B$102,MATCH(LEFT(B280,11)&amp;"*",B$71:B$102,0)+2))),A280))</f>
        <v/>
      </c>
      <c r="C282" s="491"/>
      <c r="D282" s="492"/>
      <c r="E282" s="193"/>
      <c r="F282" s="194"/>
      <c r="G282" s="195"/>
      <c r="H282" s="196"/>
      <c r="I282" s="196"/>
      <c r="J282" s="197"/>
      <c r="K282" s="198"/>
      <c r="L282" s="198"/>
      <c r="M282" s="198"/>
      <c r="N282" s="490" t="str">
        <f>IF(ISBLANK(N280),"",CONCATENATE(LEFT(INDEX(N$71:N$102,MATCH(LEFT(N280,11)&amp;"*",N$71:N$102,0)+2),FIND("-",INDEX(N$71:N$102,MATCH(LEFT(N280,11)&amp;"*",N$71:N$102,0)+2))),$A280))</f>
        <v/>
      </c>
      <c r="O282" s="491"/>
      <c r="P282" s="492"/>
      <c r="Q282" s="193"/>
      <c r="R282" s="194"/>
      <c r="S282" s="195"/>
      <c r="T282" s="196"/>
      <c r="U282" s="196"/>
      <c r="V282" s="197"/>
      <c r="W282" s="198"/>
      <c r="X282" s="194"/>
      <c r="Y282" s="198"/>
      <c r="Z282" s="490" t="str">
        <f>IF(ISBLANK(Z280),"",CONCATENATE(LEFT(INDEX(Z$71:Z$102,MATCH(LEFT(Z280,11)&amp;"*",Z$71:Z$102,0)+2),FIND("-",INDEX(Z$71:Z$102,MATCH(LEFT(Z280,11)&amp;"*",Z$71:Z$102,0)+2))),$A280))</f>
        <v/>
      </c>
      <c r="AA282" s="491"/>
      <c r="AB282" s="492"/>
      <c r="AC282" s="309"/>
      <c r="AD282" s="203"/>
      <c r="AE282" s="199"/>
      <c r="AF282" s="201"/>
      <c r="AG282" s="201"/>
      <c r="AH282" s="200"/>
      <c r="AI282" s="202"/>
      <c r="AJ282" s="202"/>
      <c r="AK282" s="203"/>
      <c r="AL282" s="490" t="str">
        <f>IF(ISBLANK(AL280),"",CONCATENATE(LEFT(INDEX(AL$71:AL$102,MATCH(LEFT(AL280,11)&amp;"*",AL$71:AL$102,0)+2),FIND("-",INDEX(AL$71:AL$102,MATCH(LEFT(AL280,11)&amp;"*",AL$71:AL$102,0)+2))),$A280))</f>
        <v/>
      </c>
      <c r="AM282" s="491"/>
      <c r="AN282" s="492"/>
      <c r="AO282" s="309"/>
      <c r="AP282" s="203"/>
      <c r="AQ282" s="204"/>
      <c r="AR282" s="201"/>
      <c r="AS282" s="201"/>
      <c r="AT282" s="200"/>
      <c r="AU282" s="202"/>
      <c r="AV282" s="202"/>
      <c r="AW282" s="203"/>
    </row>
    <row r="283" spans="1:49" s="75" customFormat="1" ht="21" customHeight="1" thickTop="1" x14ac:dyDescent="0.25">
      <c r="A283" s="513" t="s">
        <v>243</v>
      </c>
      <c r="B283" s="501"/>
      <c r="C283" s="502"/>
      <c r="D283" s="502"/>
      <c r="E283" s="502"/>
      <c r="F283" s="502"/>
      <c r="G283" s="502"/>
      <c r="H283" s="502"/>
      <c r="I283" s="502"/>
      <c r="J283" s="502"/>
      <c r="K283" s="502"/>
      <c r="L283" s="502"/>
      <c r="M283" s="503"/>
      <c r="N283" s="501"/>
      <c r="O283" s="502"/>
      <c r="P283" s="502"/>
      <c r="Q283" s="502"/>
      <c r="R283" s="502"/>
      <c r="S283" s="502"/>
      <c r="T283" s="502"/>
      <c r="U283" s="502"/>
      <c r="V283" s="502"/>
      <c r="W283" s="502"/>
      <c r="X283" s="502"/>
      <c r="Y283" s="503"/>
      <c r="Z283" s="501"/>
      <c r="AA283" s="502"/>
      <c r="AB283" s="502"/>
      <c r="AC283" s="502"/>
      <c r="AD283" s="502"/>
      <c r="AE283" s="502"/>
      <c r="AF283" s="502"/>
      <c r="AG283" s="502"/>
      <c r="AH283" s="502"/>
      <c r="AI283" s="502"/>
      <c r="AJ283" s="502"/>
      <c r="AK283" s="503"/>
      <c r="AL283" s="501"/>
      <c r="AM283" s="502"/>
      <c r="AN283" s="502"/>
      <c r="AO283" s="502"/>
      <c r="AP283" s="502"/>
      <c r="AQ283" s="502"/>
      <c r="AR283" s="502"/>
      <c r="AS283" s="502"/>
      <c r="AT283" s="502"/>
      <c r="AU283" s="502"/>
      <c r="AV283" s="502"/>
      <c r="AW283" s="503"/>
    </row>
    <row r="284" spans="1:49" s="75" customFormat="1" ht="21" customHeight="1" x14ac:dyDescent="0.25">
      <c r="A284" s="514"/>
      <c r="B284" s="504"/>
      <c r="C284" s="505"/>
      <c r="D284" s="505"/>
      <c r="E284" s="505"/>
      <c r="F284" s="505"/>
      <c r="G284" s="505"/>
      <c r="H284" s="505"/>
      <c r="I284" s="505"/>
      <c r="J284" s="505"/>
      <c r="K284" s="505"/>
      <c r="L284" s="505"/>
      <c r="M284" s="506"/>
      <c r="N284" s="504"/>
      <c r="O284" s="505"/>
      <c r="P284" s="505"/>
      <c r="Q284" s="505"/>
      <c r="R284" s="505"/>
      <c r="S284" s="505"/>
      <c r="T284" s="505"/>
      <c r="U284" s="505"/>
      <c r="V284" s="505"/>
      <c r="W284" s="505"/>
      <c r="X284" s="505"/>
      <c r="Y284" s="506"/>
      <c r="Z284" s="504"/>
      <c r="AA284" s="505"/>
      <c r="AB284" s="505"/>
      <c r="AC284" s="505"/>
      <c r="AD284" s="505"/>
      <c r="AE284" s="505"/>
      <c r="AF284" s="505"/>
      <c r="AG284" s="505"/>
      <c r="AH284" s="505"/>
      <c r="AI284" s="505"/>
      <c r="AJ284" s="505"/>
      <c r="AK284" s="506"/>
      <c r="AL284" s="504"/>
      <c r="AM284" s="505"/>
      <c r="AN284" s="505"/>
      <c r="AO284" s="505"/>
      <c r="AP284" s="505"/>
      <c r="AQ284" s="505"/>
      <c r="AR284" s="505"/>
      <c r="AS284" s="505"/>
      <c r="AT284" s="505"/>
      <c r="AU284" s="505"/>
      <c r="AV284" s="505"/>
      <c r="AW284" s="506"/>
    </row>
    <row r="285" spans="1:49" s="75" customFormat="1" ht="21" customHeight="1" thickBot="1" x14ac:dyDescent="0.3">
      <c r="A285" s="515"/>
      <c r="B285" s="490" t="str">
        <f>IF(ISBLANK(B283),"",CONCATENATE(LEFT(INDEX(B$71:B$102,MATCH(LEFT(B283,11)&amp;"*",B$71:B$102,0)+2),FIND("-",INDEX(B$71:B$102,MATCH(LEFT(B283,11)&amp;"*",B$71:B$102,0)+2))),A283))</f>
        <v/>
      </c>
      <c r="C285" s="491"/>
      <c r="D285" s="492"/>
      <c r="E285" s="193"/>
      <c r="F285" s="194"/>
      <c r="G285" s="195"/>
      <c r="H285" s="196"/>
      <c r="I285" s="196"/>
      <c r="J285" s="197"/>
      <c r="K285" s="198"/>
      <c r="L285" s="198"/>
      <c r="M285" s="198"/>
      <c r="N285" s="490" t="str">
        <f>IF(ISBLANK(N283),"",CONCATENATE(LEFT(INDEX(N$71:N$102,MATCH(LEFT(N283,11)&amp;"*",N$71:N$102,0)+2),FIND("-",INDEX(N$71:N$102,MATCH(LEFT(N283,11)&amp;"*",N$71:N$102,0)+2))),$A283))</f>
        <v/>
      </c>
      <c r="O285" s="491"/>
      <c r="P285" s="492"/>
      <c r="Q285" s="193"/>
      <c r="R285" s="194"/>
      <c r="S285" s="195"/>
      <c r="T285" s="196"/>
      <c r="U285" s="196"/>
      <c r="V285" s="197"/>
      <c r="W285" s="198"/>
      <c r="X285" s="194"/>
      <c r="Y285" s="198"/>
      <c r="Z285" s="490" t="str">
        <f>IF(ISBLANK(Z283),"",CONCATENATE(LEFT(INDEX(Z$71:Z$102,MATCH(LEFT(Z283,11)&amp;"*",Z$71:Z$102,0)+2),FIND("-",INDEX(Z$71:Z$102,MATCH(LEFT(Z283,11)&amp;"*",Z$71:Z$102,0)+2))),$A283))</f>
        <v/>
      </c>
      <c r="AA285" s="491"/>
      <c r="AB285" s="492"/>
      <c r="AC285" s="309"/>
      <c r="AD285" s="203"/>
      <c r="AE285" s="199"/>
      <c r="AF285" s="201"/>
      <c r="AG285" s="201"/>
      <c r="AH285" s="200"/>
      <c r="AI285" s="202"/>
      <c r="AJ285" s="202"/>
      <c r="AK285" s="203"/>
      <c r="AL285" s="490" t="str">
        <f>IF(ISBLANK(AL283),"",CONCATENATE(LEFT(INDEX(AL$71:AL$102,MATCH(LEFT(AL283,11)&amp;"*",AL$71:AL$102,0)+2),FIND("-",INDEX(AL$71:AL$102,MATCH(LEFT(AL283,11)&amp;"*",AL$71:AL$102,0)+2))),$A283))</f>
        <v/>
      </c>
      <c r="AM285" s="491"/>
      <c r="AN285" s="492"/>
      <c r="AO285" s="309"/>
      <c r="AP285" s="203"/>
      <c r="AQ285" s="204"/>
      <c r="AR285" s="201"/>
      <c r="AS285" s="201"/>
      <c r="AT285" s="200"/>
      <c r="AU285" s="202"/>
      <c r="AV285" s="202"/>
      <c r="AW285" s="203"/>
    </row>
    <row r="286" spans="1:49" s="75" customFormat="1" ht="21" customHeight="1" thickTop="1" x14ac:dyDescent="0.25">
      <c r="A286" s="513" t="s">
        <v>244</v>
      </c>
      <c r="B286" s="501"/>
      <c r="C286" s="502"/>
      <c r="D286" s="502"/>
      <c r="E286" s="502"/>
      <c r="F286" s="502"/>
      <c r="G286" s="502"/>
      <c r="H286" s="502"/>
      <c r="I286" s="502"/>
      <c r="J286" s="502"/>
      <c r="K286" s="502"/>
      <c r="L286" s="502"/>
      <c r="M286" s="503"/>
      <c r="N286" s="501"/>
      <c r="O286" s="502"/>
      <c r="P286" s="502"/>
      <c r="Q286" s="502"/>
      <c r="R286" s="502"/>
      <c r="S286" s="502"/>
      <c r="T286" s="502"/>
      <c r="U286" s="502"/>
      <c r="V286" s="502"/>
      <c r="W286" s="502"/>
      <c r="X286" s="502"/>
      <c r="Y286" s="503"/>
      <c r="Z286" s="501"/>
      <c r="AA286" s="502"/>
      <c r="AB286" s="502"/>
      <c r="AC286" s="502"/>
      <c r="AD286" s="502"/>
      <c r="AE286" s="502"/>
      <c r="AF286" s="502"/>
      <c r="AG286" s="502"/>
      <c r="AH286" s="502"/>
      <c r="AI286" s="502"/>
      <c r="AJ286" s="502"/>
      <c r="AK286" s="503"/>
      <c r="AL286" s="501"/>
      <c r="AM286" s="502"/>
      <c r="AN286" s="502"/>
      <c r="AO286" s="502"/>
      <c r="AP286" s="502"/>
      <c r="AQ286" s="502"/>
      <c r="AR286" s="502"/>
      <c r="AS286" s="502"/>
      <c r="AT286" s="502"/>
      <c r="AU286" s="502"/>
      <c r="AV286" s="502"/>
      <c r="AW286" s="503"/>
    </row>
    <row r="287" spans="1:49" s="75" customFormat="1" ht="21" customHeight="1" x14ac:dyDescent="0.25">
      <c r="A287" s="514"/>
      <c r="B287" s="504"/>
      <c r="C287" s="505"/>
      <c r="D287" s="505"/>
      <c r="E287" s="505"/>
      <c r="F287" s="505"/>
      <c r="G287" s="505"/>
      <c r="H287" s="505"/>
      <c r="I287" s="505"/>
      <c r="J287" s="505"/>
      <c r="K287" s="505"/>
      <c r="L287" s="505"/>
      <c r="M287" s="506"/>
      <c r="N287" s="504"/>
      <c r="O287" s="505"/>
      <c r="P287" s="505"/>
      <c r="Q287" s="505"/>
      <c r="R287" s="505"/>
      <c r="S287" s="505"/>
      <c r="T287" s="505"/>
      <c r="U287" s="505"/>
      <c r="V287" s="505"/>
      <c r="W287" s="505"/>
      <c r="X287" s="505"/>
      <c r="Y287" s="506"/>
      <c r="Z287" s="504"/>
      <c r="AA287" s="505"/>
      <c r="AB287" s="505"/>
      <c r="AC287" s="505"/>
      <c r="AD287" s="505"/>
      <c r="AE287" s="505"/>
      <c r="AF287" s="505"/>
      <c r="AG287" s="505"/>
      <c r="AH287" s="505"/>
      <c r="AI287" s="505"/>
      <c r="AJ287" s="505"/>
      <c r="AK287" s="506"/>
      <c r="AL287" s="504"/>
      <c r="AM287" s="505"/>
      <c r="AN287" s="505"/>
      <c r="AO287" s="505"/>
      <c r="AP287" s="505"/>
      <c r="AQ287" s="505"/>
      <c r="AR287" s="505"/>
      <c r="AS287" s="505"/>
      <c r="AT287" s="505"/>
      <c r="AU287" s="505"/>
      <c r="AV287" s="505"/>
      <c r="AW287" s="506"/>
    </row>
    <row r="288" spans="1:49" s="75" customFormat="1" ht="21" customHeight="1" thickBot="1" x14ac:dyDescent="0.3">
      <c r="A288" s="515"/>
      <c r="B288" s="490" t="str">
        <f>IF(ISBLANK(B286),"",CONCATENATE(LEFT(INDEX(B$71:B$102,MATCH(LEFT(B286,11)&amp;"*",B$71:B$102,0)+2),FIND("-",INDEX(B$71:B$102,MATCH(LEFT(B286,11)&amp;"*",B$71:B$102,0)+2))),A286))</f>
        <v/>
      </c>
      <c r="C288" s="491"/>
      <c r="D288" s="492"/>
      <c r="E288" s="193"/>
      <c r="F288" s="194"/>
      <c r="G288" s="195"/>
      <c r="H288" s="196"/>
      <c r="I288" s="196"/>
      <c r="J288" s="197"/>
      <c r="K288" s="198"/>
      <c r="L288" s="198"/>
      <c r="M288" s="198"/>
      <c r="N288" s="490" t="str">
        <f>IF(ISBLANK(N286),"",CONCATENATE(LEFT(INDEX(N$71:N$102,MATCH(LEFT(N286,11)&amp;"*",N$71:N$102,0)+2),FIND("-",INDEX(N$71:N$102,MATCH(LEFT(N286,11)&amp;"*",N$71:N$102,0)+2))),$A286))</f>
        <v/>
      </c>
      <c r="O288" s="491"/>
      <c r="P288" s="492"/>
      <c r="Q288" s="193"/>
      <c r="R288" s="194"/>
      <c r="S288" s="195"/>
      <c r="T288" s="196"/>
      <c r="U288" s="196"/>
      <c r="V288" s="197"/>
      <c r="W288" s="198"/>
      <c r="X288" s="194"/>
      <c r="Y288" s="198"/>
      <c r="Z288" s="490" t="str">
        <f>IF(ISBLANK(Z286),"",CONCATENATE(LEFT(INDEX(Z$71:Z$102,MATCH(LEFT(Z286,11)&amp;"*",Z$71:Z$102,0)+2),FIND("-",INDEX(Z$71:Z$102,MATCH(LEFT(Z286,11)&amp;"*",Z$71:Z$102,0)+2))),$A286))</f>
        <v/>
      </c>
      <c r="AA288" s="491"/>
      <c r="AB288" s="492"/>
      <c r="AC288" s="309"/>
      <c r="AD288" s="203"/>
      <c r="AE288" s="199"/>
      <c r="AF288" s="201"/>
      <c r="AG288" s="201"/>
      <c r="AH288" s="200"/>
      <c r="AI288" s="202"/>
      <c r="AJ288" s="202"/>
      <c r="AK288" s="203"/>
      <c r="AL288" s="490" t="str">
        <f>IF(ISBLANK(AL286),"",CONCATENATE(LEFT(INDEX(AL$71:AL$102,MATCH(LEFT(AL286,11)&amp;"*",AL$71:AL$102,0)+2),FIND("-",INDEX(AL$71:AL$102,MATCH(LEFT(AL286,11)&amp;"*",AL$71:AL$102,0)+2))),$A286))</f>
        <v/>
      </c>
      <c r="AM288" s="491"/>
      <c r="AN288" s="492"/>
      <c r="AO288" s="309"/>
      <c r="AP288" s="203"/>
      <c r="AQ288" s="204"/>
      <c r="AR288" s="201"/>
      <c r="AS288" s="201"/>
      <c r="AT288" s="200"/>
      <c r="AU288" s="202"/>
      <c r="AV288" s="202"/>
      <c r="AW288" s="203"/>
    </row>
    <row r="289" spans="1:49" s="75" customFormat="1" ht="21" customHeight="1" thickTop="1" x14ac:dyDescent="0.25">
      <c r="A289" s="513" t="s">
        <v>245</v>
      </c>
      <c r="B289" s="501"/>
      <c r="C289" s="502"/>
      <c r="D289" s="502"/>
      <c r="E289" s="502"/>
      <c r="F289" s="502"/>
      <c r="G289" s="502"/>
      <c r="H289" s="502"/>
      <c r="I289" s="502"/>
      <c r="J289" s="502"/>
      <c r="K289" s="502"/>
      <c r="L289" s="502"/>
      <c r="M289" s="503"/>
      <c r="N289" s="501"/>
      <c r="O289" s="502"/>
      <c r="P289" s="502"/>
      <c r="Q289" s="502"/>
      <c r="R289" s="502"/>
      <c r="S289" s="502"/>
      <c r="T289" s="502"/>
      <c r="U289" s="502"/>
      <c r="V289" s="502"/>
      <c r="W289" s="502"/>
      <c r="X289" s="502"/>
      <c r="Y289" s="503"/>
      <c r="Z289" s="501"/>
      <c r="AA289" s="502"/>
      <c r="AB289" s="502"/>
      <c r="AC289" s="502"/>
      <c r="AD289" s="502"/>
      <c r="AE289" s="502"/>
      <c r="AF289" s="502"/>
      <c r="AG289" s="502"/>
      <c r="AH289" s="502"/>
      <c r="AI289" s="502"/>
      <c r="AJ289" s="502"/>
      <c r="AK289" s="503"/>
      <c r="AL289" s="501"/>
      <c r="AM289" s="502"/>
      <c r="AN289" s="502"/>
      <c r="AO289" s="502"/>
      <c r="AP289" s="502"/>
      <c r="AQ289" s="502"/>
      <c r="AR289" s="502"/>
      <c r="AS289" s="502"/>
      <c r="AT289" s="502"/>
      <c r="AU289" s="502"/>
      <c r="AV289" s="502"/>
      <c r="AW289" s="503"/>
    </row>
    <row r="290" spans="1:49" s="75" customFormat="1" ht="21" customHeight="1" x14ac:dyDescent="0.25">
      <c r="A290" s="514"/>
      <c r="B290" s="504"/>
      <c r="C290" s="505"/>
      <c r="D290" s="505"/>
      <c r="E290" s="505"/>
      <c r="F290" s="505"/>
      <c r="G290" s="505"/>
      <c r="H290" s="505"/>
      <c r="I290" s="505"/>
      <c r="J290" s="505"/>
      <c r="K290" s="505"/>
      <c r="L290" s="505"/>
      <c r="M290" s="506"/>
      <c r="N290" s="504"/>
      <c r="O290" s="505"/>
      <c r="P290" s="505"/>
      <c r="Q290" s="505"/>
      <c r="R290" s="505"/>
      <c r="S290" s="505"/>
      <c r="T290" s="505"/>
      <c r="U290" s="505"/>
      <c r="V290" s="505"/>
      <c r="W290" s="505"/>
      <c r="X290" s="505"/>
      <c r="Y290" s="506"/>
      <c r="Z290" s="504"/>
      <c r="AA290" s="505"/>
      <c r="AB290" s="505"/>
      <c r="AC290" s="505"/>
      <c r="AD290" s="505"/>
      <c r="AE290" s="505"/>
      <c r="AF290" s="505"/>
      <c r="AG290" s="505"/>
      <c r="AH290" s="505"/>
      <c r="AI290" s="505"/>
      <c r="AJ290" s="505"/>
      <c r="AK290" s="506"/>
      <c r="AL290" s="504"/>
      <c r="AM290" s="505"/>
      <c r="AN290" s="505"/>
      <c r="AO290" s="505"/>
      <c r="AP290" s="505"/>
      <c r="AQ290" s="505"/>
      <c r="AR290" s="505"/>
      <c r="AS290" s="505"/>
      <c r="AT290" s="505"/>
      <c r="AU290" s="505"/>
      <c r="AV290" s="505"/>
      <c r="AW290" s="506"/>
    </row>
    <row r="291" spans="1:49" s="75" customFormat="1" ht="21" customHeight="1" thickBot="1" x14ac:dyDescent="0.3">
      <c r="A291" s="515"/>
      <c r="B291" s="490" t="str">
        <f>IF(ISBLANK(B289),"",CONCATENATE(LEFT(INDEX(B$71:B$102,MATCH(LEFT(B289,11)&amp;"*",B$71:B$102,0)+2),FIND("-",INDEX(B$71:B$102,MATCH(LEFT(B289,11)&amp;"*",B$71:B$102,0)+2))),A289))</f>
        <v/>
      </c>
      <c r="C291" s="491"/>
      <c r="D291" s="492"/>
      <c r="E291" s="193"/>
      <c r="F291" s="194"/>
      <c r="G291" s="195"/>
      <c r="H291" s="196"/>
      <c r="I291" s="196"/>
      <c r="J291" s="197"/>
      <c r="K291" s="198"/>
      <c r="L291" s="198"/>
      <c r="M291" s="198"/>
      <c r="N291" s="490" t="str">
        <f>IF(ISBLANK(N289),"",CONCATENATE(LEFT(INDEX(N$71:N$102,MATCH(LEFT(N289,11)&amp;"*",N$71:N$102,0)+2),FIND("-",INDEX(N$71:N$102,MATCH(LEFT(N289,11)&amp;"*",N$71:N$102,0)+2))),$A289))</f>
        <v/>
      </c>
      <c r="O291" s="491"/>
      <c r="P291" s="492"/>
      <c r="Q291" s="193"/>
      <c r="R291" s="194"/>
      <c r="S291" s="195"/>
      <c r="T291" s="196"/>
      <c r="U291" s="196"/>
      <c r="V291" s="197"/>
      <c r="W291" s="198"/>
      <c r="X291" s="194"/>
      <c r="Y291" s="198"/>
      <c r="Z291" s="490" t="str">
        <f>IF(ISBLANK(Z289),"",CONCATENATE(LEFT(INDEX(Z$71:Z$102,MATCH(LEFT(Z289,11)&amp;"*",Z$71:Z$102,0)+2),FIND("-",INDEX(Z$71:Z$102,MATCH(LEFT(Z289,11)&amp;"*",Z$71:Z$102,0)+2))),$A289))</f>
        <v/>
      </c>
      <c r="AA291" s="491"/>
      <c r="AB291" s="492"/>
      <c r="AC291" s="309"/>
      <c r="AD291" s="203"/>
      <c r="AE291" s="199"/>
      <c r="AF291" s="201"/>
      <c r="AG291" s="201"/>
      <c r="AH291" s="200"/>
      <c r="AI291" s="202"/>
      <c r="AJ291" s="202"/>
      <c r="AK291" s="213"/>
      <c r="AL291" s="490" t="str">
        <f>IF(ISBLANK(AL289),"",CONCATENATE(LEFT(INDEX(AL$71:AL$102,MATCH(LEFT(AL289,11)&amp;"*",AL$71:AL$102,0)+2),FIND("-",INDEX(AL$71:AL$102,MATCH(LEFT(AL289,11)&amp;"*",AL$71:AL$102,0)+2))),$A289))</f>
        <v/>
      </c>
      <c r="AM291" s="491"/>
      <c r="AN291" s="492"/>
      <c r="AO291" s="193"/>
      <c r="AP291" s="194"/>
      <c r="AQ291" s="195"/>
      <c r="AR291" s="196"/>
      <c r="AS291" s="196"/>
      <c r="AT291" s="197"/>
      <c r="AU291" s="198"/>
      <c r="AV291" s="194"/>
      <c r="AW291" s="198"/>
    </row>
    <row r="292" spans="1:49" s="75" customFormat="1" ht="21" customHeight="1" thickTop="1" x14ac:dyDescent="0.25">
      <c r="A292" s="513" t="s">
        <v>246</v>
      </c>
      <c r="B292" s="501"/>
      <c r="C292" s="502"/>
      <c r="D292" s="502"/>
      <c r="E292" s="502"/>
      <c r="F292" s="502"/>
      <c r="G292" s="502"/>
      <c r="H292" s="502"/>
      <c r="I292" s="502"/>
      <c r="J292" s="502"/>
      <c r="K292" s="502"/>
      <c r="L292" s="502"/>
      <c r="M292" s="503"/>
      <c r="N292" s="501"/>
      <c r="O292" s="502"/>
      <c r="P292" s="502"/>
      <c r="Q292" s="502"/>
      <c r="R292" s="502"/>
      <c r="S292" s="502"/>
      <c r="T292" s="502"/>
      <c r="U292" s="502"/>
      <c r="V292" s="502"/>
      <c r="W292" s="502"/>
      <c r="X292" s="502"/>
      <c r="Y292" s="503"/>
      <c r="Z292" s="501"/>
      <c r="AA292" s="502"/>
      <c r="AB292" s="502"/>
      <c r="AC292" s="502"/>
      <c r="AD292" s="502"/>
      <c r="AE292" s="502"/>
      <c r="AF292" s="502"/>
      <c r="AG292" s="502"/>
      <c r="AH292" s="502"/>
      <c r="AI292" s="502"/>
      <c r="AJ292" s="502"/>
      <c r="AK292" s="503"/>
      <c r="AL292" s="501"/>
      <c r="AM292" s="502"/>
      <c r="AN292" s="502"/>
      <c r="AO292" s="502"/>
      <c r="AP292" s="502"/>
      <c r="AQ292" s="502"/>
      <c r="AR292" s="502"/>
      <c r="AS292" s="502"/>
      <c r="AT292" s="502"/>
      <c r="AU292" s="502"/>
      <c r="AV292" s="502"/>
      <c r="AW292" s="503"/>
    </row>
    <row r="293" spans="1:49" s="75" customFormat="1" ht="21" customHeight="1" x14ac:dyDescent="0.25">
      <c r="A293" s="514"/>
      <c r="B293" s="504"/>
      <c r="C293" s="505"/>
      <c r="D293" s="505"/>
      <c r="E293" s="505"/>
      <c r="F293" s="505"/>
      <c r="G293" s="505"/>
      <c r="H293" s="505"/>
      <c r="I293" s="505"/>
      <c r="J293" s="505"/>
      <c r="K293" s="505"/>
      <c r="L293" s="505"/>
      <c r="M293" s="506"/>
      <c r="N293" s="504"/>
      <c r="O293" s="505"/>
      <c r="P293" s="505"/>
      <c r="Q293" s="505"/>
      <c r="R293" s="505"/>
      <c r="S293" s="505"/>
      <c r="T293" s="505"/>
      <c r="U293" s="505"/>
      <c r="V293" s="505"/>
      <c r="W293" s="505"/>
      <c r="X293" s="505"/>
      <c r="Y293" s="506"/>
      <c r="Z293" s="504"/>
      <c r="AA293" s="505"/>
      <c r="AB293" s="505"/>
      <c r="AC293" s="505"/>
      <c r="AD293" s="505"/>
      <c r="AE293" s="505"/>
      <c r="AF293" s="505"/>
      <c r="AG293" s="505"/>
      <c r="AH293" s="505"/>
      <c r="AI293" s="505"/>
      <c r="AJ293" s="505"/>
      <c r="AK293" s="506"/>
      <c r="AL293" s="504"/>
      <c r="AM293" s="505"/>
      <c r="AN293" s="505"/>
      <c r="AO293" s="505"/>
      <c r="AP293" s="505"/>
      <c r="AQ293" s="505"/>
      <c r="AR293" s="505"/>
      <c r="AS293" s="505"/>
      <c r="AT293" s="505"/>
      <c r="AU293" s="505"/>
      <c r="AV293" s="505"/>
      <c r="AW293" s="506"/>
    </row>
    <row r="294" spans="1:49" s="75" customFormat="1" ht="21" customHeight="1" thickBot="1" x14ac:dyDescent="0.3">
      <c r="A294" s="515"/>
      <c r="B294" s="490" t="str">
        <f>IF(ISBLANK(B292),"",CONCATENATE(LEFT(INDEX(B$71:B$102,MATCH(LEFT(B292,11)&amp;"*",B$71:B$102,0)+2),FIND("-",INDEX(B$71:B$102,MATCH(LEFT(B292,11)&amp;"*",B$71:B$102,0)+2))),A292))</f>
        <v/>
      </c>
      <c r="C294" s="491"/>
      <c r="D294" s="492"/>
      <c r="E294" s="193"/>
      <c r="F294" s="194"/>
      <c r="G294" s="195"/>
      <c r="H294" s="196"/>
      <c r="I294" s="196"/>
      <c r="J294" s="197"/>
      <c r="K294" s="198"/>
      <c r="L294" s="198"/>
      <c r="M294" s="198"/>
      <c r="N294" s="490" t="str">
        <f>IF(ISBLANK(N292),"",CONCATENATE(LEFT(INDEX(N$71:N$102,MATCH(LEFT(N292,11)&amp;"*",N$71:N$102,0)+2),FIND("-",INDEX(N$71:N$102,MATCH(LEFT(N292,11)&amp;"*",N$71:N$102,0)+2))),$A292))</f>
        <v/>
      </c>
      <c r="O294" s="491"/>
      <c r="P294" s="492"/>
      <c r="Q294" s="193"/>
      <c r="R294" s="194"/>
      <c r="S294" s="195"/>
      <c r="T294" s="196"/>
      <c r="U294" s="196"/>
      <c r="V294" s="197"/>
      <c r="W294" s="198"/>
      <c r="X294" s="194"/>
      <c r="Y294" s="198"/>
      <c r="Z294" s="490" t="str">
        <f>IF(ISBLANK(Z292),"",CONCATENATE(LEFT(INDEX(Z$71:Z$102,MATCH(LEFT(Z292,11)&amp;"*",Z$71:Z$102,0)+2),FIND("-",INDEX(Z$71:Z$102,MATCH(LEFT(Z292,11)&amp;"*",Z$71:Z$102,0)+2))),$A292))</f>
        <v/>
      </c>
      <c r="AA294" s="491"/>
      <c r="AB294" s="492"/>
      <c r="AC294" s="309"/>
      <c r="AD294" s="203"/>
      <c r="AE294" s="199"/>
      <c r="AF294" s="201"/>
      <c r="AG294" s="201"/>
      <c r="AH294" s="200"/>
      <c r="AI294" s="202"/>
      <c r="AJ294" s="202"/>
      <c r="AK294" s="213"/>
      <c r="AL294" s="490" t="str">
        <f>IF(ISBLANK(AL292),"",CONCATENATE(LEFT(INDEX(AL$71:AL$102,MATCH(LEFT(AL292,11)&amp;"*",AL$71:AL$102,0)+2),FIND("-",INDEX(AL$71:AL$102,MATCH(LEFT(AL292,11)&amp;"*",AL$71:AL$102,0)+2))),$A292))</f>
        <v/>
      </c>
      <c r="AM294" s="491"/>
      <c r="AN294" s="492"/>
      <c r="AO294" s="193"/>
      <c r="AP294" s="194"/>
      <c r="AQ294" s="195"/>
      <c r="AR294" s="196"/>
      <c r="AS294" s="196"/>
      <c r="AT294" s="197"/>
      <c r="AU294" s="198"/>
      <c r="AV294" s="194"/>
      <c r="AW294" s="198"/>
    </row>
    <row r="295" spans="1:49" s="75" customFormat="1" ht="21" customHeight="1" thickTop="1" x14ac:dyDescent="0.25">
      <c r="A295" s="513" t="s">
        <v>247</v>
      </c>
      <c r="B295" s="501"/>
      <c r="C295" s="502"/>
      <c r="D295" s="502"/>
      <c r="E295" s="502"/>
      <c r="F295" s="502"/>
      <c r="G295" s="502"/>
      <c r="H295" s="502"/>
      <c r="I295" s="502"/>
      <c r="J295" s="502"/>
      <c r="K295" s="502"/>
      <c r="L295" s="502"/>
      <c r="M295" s="503"/>
      <c r="N295" s="501"/>
      <c r="O295" s="502"/>
      <c r="P295" s="502"/>
      <c r="Q295" s="502"/>
      <c r="R295" s="502"/>
      <c r="S295" s="502"/>
      <c r="T295" s="502"/>
      <c r="U295" s="502"/>
      <c r="V295" s="502"/>
      <c r="W295" s="502"/>
      <c r="X295" s="502"/>
      <c r="Y295" s="503"/>
      <c r="Z295" s="501"/>
      <c r="AA295" s="502"/>
      <c r="AB295" s="502"/>
      <c r="AC295" s="502"/>
      <c r="AD295" s="502"/>
      <c r="AE295" s="502"/>
      <c r="AF295" s="502"/>
      <c r="AG295" s="502"/>
      <c r="AH295" s="502"/>
      <c r="AI295" s="502"/>
      <c r="AJ295" s="502"/>
      <c r="AK295" s="503"/>
      <c r="AL295" s="501"/>
      <c r="AM295" s="502"/>
      <c r="AN295" s="502"/>
      <c r="AO295" s="502"/>
      <c r="AP295" s="502"/>
      <c r="AQ295" s="502"/>
      <c r="AR295" s="502"/>
      <c r="AS295" s="502"/>
      <c r="AT295" s="502"/>
      <c r="AU295" s="502"/>
      <c r="AV295" s="502"/>
      <c r="AW295" s="503"/>
    </row>
    <row r="296" spans="1:49" s="75" customFormat="1" ht="21" customHeight="1" x14ac:dyDescent="0.25">
      <c r="A296" s="514"/>
      <c r="B296" s="504"/>
      <c r="C296" s="505"/>
      <c r="D296" s="505"/>
      <c r="E296" s="505"/>
      <c r="F296" s="505"/>
      <c r="G296" s="505"/>
      <c r="H296" s="505"/>
      <c r="I296" s="505"/>
      <c r="J296" s="505"/>
      <c r="K296" s="505"/>
      <c r="L296" s="505"/>
      <c r="M296" s="506"/>
      <c r="N296" s="504"/>
      <c r="O296" s="505"/>
      <c r="P296" s="505"/>
      <c r="Q296" s="505"/>
      <c r="R296" s="505"/>
      <c r="S296" s="505"/>
      <c r="T296" s="505"/>
      <c r="U296" s="505"/>
      <c r="V296" s="505"/>
      <c r="W296" s="505"/>
      <c r="X296" s="505"/>
      <c r="Y296" s="506"/>
      <c r="Z296" s="504"/>
      <c r="AA296" s="505"/>
      <c r="AB296" s="505"/>
      <c r="AC296" s="505"/>
      <c r="AD296" s="505"/>
      <c r="AE296" s="505"/>
      <c r="AF296" s="505"/>
      <c r="AG296" s="505"/>
      <c r="AH296" s="505"/>
      <c r="AI296" s="505"/>
      <c r="AJ296" s="505"/>
      <c r="AK296" s="506"/>
      <c r="AL296" s="504"/>
      <c r="AM296" s="505"/>
      <c r="AN296" s="505"/>
      <c r="AO296" s="505"/>
      <c r="AP296" s="505"/>
      <c r="AQ296" s="505"/>
      <c r="AR296" s="505"/>
      <c r="AS296" s="505"/>
      <c r="AT296" s="505"/>
      <c r="AU296" s="505"/>
      <c r="AV296" s="505"/>
      <c r="AW296" s="506"/>
    </row>
    <row r="297" spans="1:49" s="75" customFormat="1" ht="21" customHeight="1" thickBot="1" x14ac:dyDescent="0.3">
      <c r="A297" s="515"/>
      <c r="B297" s="490" t="str">
        <f>IF(ISBLANK(B295),"",CONCATENATE(LEFT(INDEX(B$71:B$102,MATCH(LEFT(B295,11)&amp;"*",B$71:B$102,0)+2),FIND("-",INDEX(B$71:B$102,MATCH(LEFT(B295,11)&amp;"*",B$71:B$102,0)+2))),A295))</f>
        <v/>
      </c>
      <c r="C297" s="491"/>
      <c r="D297" s="492"/>
      <c r="E297" s="193"/>
      <c r="F297" s="194"/>
      <c r="G297" s="195"/>
      <c r="H297" s="196"/>
      <c r="I297" s="196"/>
      <c r="J297" s="197"/>
      <c r="K297" s="198"/>
      <c r="L297" s="198"/>
      <c r="M297" s="198"/>
      <c r="N297" s="490" t="str">
        <f>IF(ISBLANK(N295),"",CONCATENATE(LEFT(INDEX(N$71:N$102,MATCH(LEFT(N295,11)&amp;"*",N$71:N$102,0)+2),FIND("-",INDEX(N$71:N$102,MATCH(LEFT(N295,11)&amp;"*",N$71:N$102,0)+2))),$A295))</f>
        <v/>
      </c>
      <c r="O297" s="491"/>
      <c r="P297" s="492"/>
      <c r="Q297" s="193"/>
      <c r="R297" s="194"/>
      <c r="S297" s="195"/>
      <c r="T297" s="196"/>
      <c r="U297" s="196"/>
      <c r="V297" s="197"/>
      <c r="W297" s="198"/>
      <c r="X297" s="194"/>
      <c r="Y297" s="198"/>
      <c r="Z297" s="490" t="str">
        <f>IF(ISBLANK(Z295),"",CONCATENATE(LEFT(INDEX(Z$71:Z$102,MATCH(LEFT(Z295,11)&amp;"*",Z$71:Z$102,0)+2),FIND("-",INDEX(Z$71:Z$102,MATCH(LEFT(Z295,11)&amp;"*",Z$71:Z$102,0)+2))),$A295))</f>
        <v/>
      </c>
      <c r="AA297" s="491"/>
      <c r="AB297" s="492"/>
      <c r="AC297" s="309"/>
      <c r="AD297" s="203"/>
      <c r="AE297" s="199"/>
      <c r="AF297" s="201"/>
      <c r="AG297" s="201"/>
      <c r="AH297" s="200"/>
      <c r="AI297" s="202"/>
      <c r="AJ297" s="202"/>
      <c r="AK297" s="214"/>
      <c r="AL297" s="490" t="str">
        <f>IF(ISBLANK(AL295),"",CONCATENATE(LEFT(INDEX(AL$71:AL$102,MATCH(LEFT(AL295,11)&amp;"*",AL$71:AL$102,0)+2),FIND("-",INDEX(AL$71:AL$102,MATCH(LEFT(AL295,11)&amp;"*",AL$71:AL$102,0)+2))),$A295))</f>
        <v/>
      </c>
      <c r="AM297" s="491"/>
      <c r="AN297" s="492"/>
      <c r="AO297" s="193"/>
      <c r="AP297" s="194"/>
      <c r="AQ297" s="195"/>
      <c r="AR297" s="196"/>
      <c r="AS297" s="196"/>
      <c r="AT297" s="197"/>
      <c r="AU297" s="198"/>
      <c r="AV297" s="194"/>
      <c r="AW297" s="198"/>
    </row>
    <row r="298" spans="1:49" s="75" customFormat="1" ht="21" customHeight="1" thickTop="1" x14ac:dyDescent="0.25">
      <c r="A298" s="513" t="s">
        <v>251</v>
      </c>
      <c r="B298" s="501"/>
      <c r="C298" s="502"/>
      <c r="D298" s="502"/>
      <c r="E298" s="502"/>
      <c r="F298" s="502"/>
      <c r="G298" s="502"/>
      <c r="H298" s="502"/>
      <c r="I298" s="502"/>
      <c r="J298" s="502"/>
      <c r="K298" s="502"/>
      <c r="L298" s="502"/>
      <c r="M298" s="503"/>
      <c r="N298" s="501"/>
      <c r="O298" s="502"/>
      <c r="P298" s="502"/>
      <c r="Q298" s="502"/>
      <c r="R298" s="502"/>
      <c r="S298" s="502"/>
      <c r="T298" s="502"/>
      <c r="U298" s="502"/>
      <c r="V298" s="502"/>
      <c r="W298" s="502"/>
      <c r="X298" s="502"/>
      <c r="Y298" s="503"/>
      <c r="Z298" s="501"/>
      <c r="AA298" s="502"/>
      <c r="AB298" s="502"/>
      <c r="AC298" s="502"/>
      <c r="AD298" s="502"/>
      <c r="AE298" s="502"/>
      <c r="AF298" s="502"/>
      <c r="AG298" s="502"/>
      <c r="AH298" s="502"/>
      <c r="AI298" s="502"/>
      <c r="AJ298" s="502"/>
      <c r="AK298" s="503"/>
      <c r="AL298" s="501"/>
      <c r="AM298" s="502"/>
      <c r="AN298" s="502"/>
      <c r="AO298" s="502"/>
      <c r="AP298" s="502"/>
      <c r="AQ298" s="502"/>
      <c r="AR298" s="502"/>
      <c r="AS298" s="502"/>
      <c r="AT298" s="502"/>
      <c r="AU298" s="502"/>
      <c r="AV298" s="502"/>
      <c r="AW298" s="503"/>
    </row>
    <row r="299" spans="1:49" s="75" customFormat="1" ht="21" customHeight="1" x14ac:dyDescent="0.25">
      <c r="A299" s="514"/>
      <c r="B299" s="504"/>
      <c r="C299" s="505"/>
      <c r="D299" s="505"/>
      <c r="E299" s="505"/>
      <c r="F299" s="505"/>
      <c r="G299" s="505"/>
      <c r="H299" s="505"/>
      <c r="I299" s="505"/>
      <c r="J299" s="505"/>
      <c r="K299" s="505"/>
      <c r="L299" s="505"/>
      <c r="M299" s="506"/>
      <c r="N299" s="504"/>
      <c r="O299" s="505"/>
      <c r="P299" s="505"/>
      <c r="Q299" s="505"/>
      <c r="R299" s="505"/>
      <c r="S299" s="505"/>
      <c r="T299" s="505"/>
      <c r="U299" s="505"/>
      <c r="V299" s="505"/>
      <c r="W299" s="505"/>
      <c r="X299" s="505"/>
      <c r="Y299" s="506"/>
      <c r="Z299" s="504"/>
      <c r="AA299" s="505"/>
      <c r="AB299" s="505"/>
      <c r="AC299" s="505"/>
      <c r="AD299" s="505"/>
      <c r="AE299" s="505"/>
      <c r="AF299" s="505"/>
      <c r="AG299" s="505"/>
      <c r="AH299" s="505"/>
      <c r="AI299" s="505"/>
      <c r="AJ299" s="505"/>
      <c r="AK299" s="506"/>
      <c r="AL299" s="504"/>
      <c r="AM299" s="505"/>
      <c r="AN299" s="505"/>
      <c r="AO299" s="505"/>
      <c r="AP299" s="505"/>
      <c r="AQ299" s="505"/>
      <c r="AR299" s="505"/>
      <c r="AS299" s="505"/>
      <c r="AT299" s="505"/>
      <c r="AU299" s="505"/>
      <c r="AV299" s="505"/>
      <c r="AW299" s="506"/>
    </row>
    <row r="300" spans="1:49" s="75" customFormat="1" ht="21" customHeight="1" thickBot="1" x14ac:dyDescent="0.3">
      <c r="A300" s="515"/>
      <c r="B300" s="490" t="str">
        <f>IF(ISBLANK(B298),"",CONCATENATE(LEFT(INDEX(B$71:B$102,MATCH(LEFT(B298,11)&amp;"*",B$71:B$102,0)+2),FIND("-",INDEX(B$71:B$102,MATCH(LEFT(B298,11)&amp;"*",B$71:B$102,0)+2))),A298))</f>
        <v/>
      </c>
      <c r="C300" s="491"/>
      <c r="D300" s="492"/>
      <c r="E300" s="193"/>
      <c r="F300" s="194"/>
      <c r="G300" s="195"/>
      <c r="H300" s="196"/>
      <c r="I300" s="196"/>
      <c r="J300" s="197"/>
      <c r="K300" s="198"/>
      <c r="L300" s="198"/>
      <c r="M300" s="198"/>
      <c r="N300" s="490" t="str">
        <f>IF(ISBLANK(N298),"",CONCATENATE(LEFT(INDEX(N$71:N$102,MATCH(LEFT(N298,11)&amp;"*",N$71:N$102,0)+2),FIND("-",INDEX(N$71:N$102,MATCH(LEFT(N298,11)&amp;"*",N$71:N$102,0)+2))),$A298))</f>
        <v/>
      </c>
      <c r="O300" s="491"/>
      <c r="P300" s="492"/>
      <c r="Q300" s="193"/>
      <c r="R300" s="194"/>
      <c r="S300" s="195"/>
      <c r="T300" s="196"/>
      <c r="U300" s="196"/>
      <c r="V300" s="197"/>
      <c r="W300" s="198"/>
      <c r="X300" s="194"/>
      <c r="Y300" s="198"/>
      <c r="Z300" s="490" t="str">
        <f>IF(ISBLANK(Z298),"",CONCATENATE(LEFT(INDEX(Z$71:Z$102,MATCH(LEFT(Z298,11)&amp;"*",Z$71:Z$102,0)+2),FIND("-",INDEX(Z$71:Z$102,MATCH(LEFT(Z298,11)&amp;"*",Z$71:Z$102,0)+2))),$A298))</f>
        <v/>
      </c>
      <c r="AA300" s="491"/>
      <c r="AB300" s="492"/>
      <c r="AC300" s="309"/>
      <c r="AD300" s="203"/>
      <c r="AE300" s="199"/>
      <c r="AF300" s="201"/>
      <c r="AG300" s="201"/>
      <c r="AH300" s="200"/>
      <c r="AI300" s="202"/>
      <c r="AJ300" s="202"/>
      <c r="AK300" s="214"/>
      <c r="AL300" s="490" t="str">
        <f>IF(ISBLANK(AL298),"",CONCATENATE(LEFT(INDEX(AL$71:AL$102,MATCH(LEFT(AL298,11)&amp;"*",AL$71:AL$102,0)+2),FIND("-",INDEX(AL$71:AL$102,MATCH(LEFT(AL298,11)&amp;"*",AL$71:AL$102,0)+2))),$A298))</f>
        <v/>
      </c>
      <c r="AM300" s="491"/>
      <c r="AN300" s="492"/>
      <c r="AO300" s="193"/>
      <c r="AP300" s="194"/>
      <c r="AQ300" s="195"/>
      <c r="AR300" s="196"/>
      <c r="AS300" s="196"/>
      <c r="AT300" s="197"/>
      <c r="AU300" s="198"/>
      <c r="AV300" s="194"/>
      <c r="AW300" s="198"/>
    </row>
    <row r="301" spans="1:49" s="75" customFormat="1" ht="21" customHeight="1" thickTop="1" x14ac:dyDescent="0.25">
      <c r="A301" s="513" t="s">
        <v>252</v>
      </c>
      <c r="B301" s="501"/>
      <c r="C301" s="502"/>
      <c r="D301" s="502"/>
      <c r="E301" s="502"/>
      <c r="F301" s="502"/>
      <c r="G301" s="502"/>
      <c r="H301" s="502"/>
      <c r="I301" s="502"/>
      <c r="J301" s="502"/>
      <c r="K301" s="502"/>
      <c r="L301" s="502"/>
      <c r="M301" s="503"/>
      <c r="N301" s="501"/>
      <c r="O301" s="502"/>
      <c r="P301" s="502"/>
      <c r="Q301" s="502"/>
      <c r="R301" s="502"/>
      <c r="S301" s="502"/>
      <c r="T301" s="502"/>
      <c r="U301" s="502"/>
      <c r="V301" s="502"/>
      <c r="W301" s="502"/>
      <c r="X301" s="502"/>
      <c r="Y301" s="503"/>
      <c r="Z301" s="501"/>
      <c r="AA301" s="502"/>
      <c r="AB301" s="502"/>
      <c r="AC301" s="502"/>
      <c r="AD301" s="502"/>
      <c r="AE301" s="502"/>
      <c r="AF301" s="502"/>
      <c r="AG301" s="502"/>
      <c r="AH301" s="502"/>
      <c r="AI301" s="502"/>
      <c r="AJ301" s="502"/>
      <c r="AK301" s="503"/>
      <c r="AL301" s="501"/>
      <c r="AM301" s="502"/>
      <c r="AN301" s="502"/>
      <c r="AO301" s="502"/>
      <c r="AP301" s="502"/>
      <c r="AQ301" s="502"/>
      <c r="AR301" s="502"/>
      <c r="AS301" s="502"/>
      <c r="AT301" s="502"/>
      <c r="AU301" s="502"/>
      <c r="AV301" s="502"/>
      <c r="AW301" s="503"/>
    </row>
    <row r="302" spans="1:49" s="75" customFormat="1" ht="21" customHeight="1" x14ac:dyDescent="0.25">
      <c r="A302" s="514"/>
      <c r="B302" s="504"/>
      <c r="C302" s="505"/>
      <c r="D302" s="505"/>
      <c r="E302" s="505"/>
      <c r="F302" s="505"/>
      <c r="G302" s="505"/>
      <c r="H302" s="505"/>
      <c r="I302" s="505"/>
      <c r="J302" s="505"/>
      <c r="K302" s="505"/>
      <c r="L302" s="505"/>
      <c r="M302" s="506"/>
      <c r="N302" s="504"/>
      <c r="O302" s="505"/>
      <c r="P302" s="505"/>
      <c r="Q302" s="505"/>
      <c r="R302" s="505"/>
      <c r="S302" s="505"/>
      <c r="T302" s="505"/>
      <c r="U302" s="505"/>
      <c r="V302" s="505"/>
      <c r="W302" s="505"/>
      <c r="X302" s="505"/>
      <c r="Y302" s="506"/>
      <c r="Z302" s="504"/>
      <c r="AA302" s="505"/>
      <c r="AB302" s="505"/>
      <c r="AC302" s="505"/>
      <c r="AD302" s="505"/>
      <c r="AE302" s="505"/>
      <c r="AF302" s="505"/>
      <c r="AG302" s="505"/>
      <c r="AH302" s="505"/>
      <c r="AI302" s="505"/>
      <c r="AJ302" s="505"/>
      <c r="AK302" s="506"/>
      <c r="AL302" s="504"/>
      <c r="AM302" s="505"/>
      <c r="AN302" s="505"/>
      <c r="AO302" s="505"/>
      <c r="AP302" s="505"/>
      <c r="AQ302" s="505"/>
      <c r="AR302" s="505"/>
      <c r="AS302" s="505"/>
      <c r="AT302" s="505"/>
      <c r="AU302" s="505"/>
      <c r="AV302" s="505"/>
      <c r="AW302" s="506"/>
    </row>
    <row r="303" spans="1:49" s="78" customFormat="1" ht="21" customHeight="1" thickBot="1" x14ac:dyDescent="0.25">
      <c r="A303" s="515"/>
      <c r="B303" s="490" t="str">
        <f>IF(ISBLANK(B301),"",CONCATENATE(LEFT(INDEX(B$71:B$102,MATCH(LEFT(B301,11)&amp;"*",B$71:B$102,0)+2),FIND("-",INDEX(B$71:B$102,MATCH(LEFT(B301,11)&amp;"*",B$71:B$102,0)+2))),A301))</f>
        <v/>
      </c>
      <c r="C303" s="491"/>
      <c r="D303" s="492"/>
      <c r="E303" s="193"/>
      <c r="F303" s="194"/>
      <c r="G303" s="195"/>
      <c r="H303" s="196"/>
      <c r="I303" s="196"/>
      <c r="J303" s="197"/>
      <c r="K303" s="198"/>
      <c r="L303" s="198"/>
      <c r="M303" s="198"/>
      <c r="N303" s="490" t="str">
        <f>IF(ISBLANK(N301),"",CONCATENATE(LEFT(INDEX(N$71:N$102,MATCH(LEFT(N301,11)&amp;"*",N$71:N$102,0)+2),FIND("-",INDEX(N$71:N$102,MATCH(LEFT(N301,11)&amp;"*",N$71:N$102,0)+2))),$A301))</f>
        <v/>
      </c>
      <c r="O303" s="491"/>
      <c r="P303" s="492"/>
      <c r="Q303" s="193"/>
      <c r="R303" s="194"/>
      <c r="S303" s="195"/>
      <c r="T303" s="196"/>
      <c r="U303" s="196"/>
      <c r="V303" s="197"/>
      <c r="W303" s="198"/>
      <c r="X303" s="194"/>
      <c r="Y303" s="198"/>
      <c r="Z303" s="490" t="str">
        <f>IF(ISBLANK(Z301),"",CONCATENATE(LEFT(INDEX(Z$71:Z$102,MATCH(LEFT(Z301,11)&amp;"*",Z$71:Z$102,0)+2),FIND("-",INDEX(Z$71:Z$102,MATCH(LEFT(Z301,11)&amp;"*",Z$71:Z$102,0)+2))),$A301))</f>
        <v/>
      </c>
      <c r="AA303" s="491"/>
      <c r="AB303" s="492"/>
      <c r="AC303" s="309"/>
      <c r="AD303" s="203"/>
      <c r="AE303" s="199"/>
      <c r="AF303" s="201"/>
      <c r="AG303" s="201"/>
      <c r="AH303" s="200"/>
      <c r="AI303" s="202"/>
      <c r="AJ303" s="202"/>
      <c r="AK303" s="214"/>
      <c r="AL303" s="490" t="str">
        <f>IF(ISBLANK(AL301),"",CONCATENATE(LEFT(INDEX(AL$71:AL$102,MATCH(LEFT(AL301,11)&amp;"*",AL$71:AL$102,0)+2),FIND("-",INDEX(AL$71:AL$102,MATCH(LEFT(AL301,11)&amp;"*",AL$71:AL$102,0)+2))),$A301))</f>
        <v/>
      </c>
      <c r="AM303" s="491"/>
      <c r="AN303" s="492"/>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7" t="s">
        <v>89</v>
      </c>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8"/>
      <c r="AL305" s="578"/>
      <c r="AM305" s="578"/>
      <c r="AN305" s="578"/>
      <c r="AO305" s="578"/>
      <c r="AP305" s="578"/>
      <c r="AQ305" s="578"/>
      <c r="AR305" s="579"/>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64" t="s">
        <v>291</v>
      </c>
      <c r="B307" s="464"/>
      <c r="C307" s="464"/>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4"/>
      <c r="AL307" s="464"/>
      <c r="AM307" s="464"/>
      <c r="AN307" s="464"/>
      <c r="AO307" s="464"/>
      <c r="AP307" s="464"/>
      <c r="AQ307" s="464"/>
      <c r="AR307" s="464"/>
      <c r="AS307" s="464"/>
      <c r="AT307" s="464"/>
      <c r="AU307" s="464"/>
      <c r="AV307" s="464"/>
      <c r="AW307" s="464"/>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8" t="s">
        <v>39</v>
      </c>
      <c r="C309" s="468"/>
      <c r="D309" s="468"/>
      <c r="E309" s="468"/>
      <c r="F309" s="468"/>
      <c r="G309" s="468"/>
      <c r="H309" s="468"/>
      <c r="I309" s="468"/>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8" t="s">
        <v>42</v>
      </c>
      <c r="AO309" s="468"/>
      <c r="AP309" s="468"/>
      <c r="AQ309" s="468"/>
      <c r="AR309" s="468"/>
      <c r="AS309" s="468"/>
      <c r="AT309" s="468"/>
      <c r="AU309" s="468"/>
      <c r="AV309" s="48"/>
      <c r="AW309" s="48"/>
    </row>
    <row r="310" spans="1:49" s="78" customFormat="1" ht="21" customHeight="1" x14ac:dyDescent="0.2">
      <c r="A310" s="59"/>
      <c r="B310" s="469" t="str">
        <f>Coperta!B$46</f>
        <v>Conf.univ.dr.ing. Florin DRĂGAN</v>
      </c>
      <c r="C310" s="469"/>
      <c r="D310" s="469"/>
      <c r="E310" s="469"/>
      <c r="F310" s="469"/>
      <c r="G310" s="469"/>
      <c r="H310" s="469"/>
      <c r="I310" s="469"/>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9" t="str">
        <f>Coperta!N$46</f>
        <v>Conf.univ.dr.ing. Virgil STOICA</v>
      </c>
      <c r="AO310" s="469"/>
      <c r="AP310" s="469"/>
      <c r="AQ310" s="469"/>
      <c r="AR310" s="469"/>
      <c r="AS310" s="469"/>
      <c r="AT310" s="469"/>
      <c r="AU310" s="469"/>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industrială</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Tehnologia Constructiilor de Masini</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0" t="s">
        <v>0</v>
      </c>
      <c r="B323" s="510"/>
      <c r="C323" s="510"/>
      <c r="D323" s="510"/>
      <c r="E323" s="510"/>
      <c r="F323" s="510"/>
      <c r="G323" s="510"/>
      <c r="H323" s="510"/>
      <c r="I323" s="510"/>
      <c r="J323" s="510"/>
      <c r="K323" s="510"/>
      <c r="L323" s="510"/>
      <c r="M323" s="510"/>
      <c r="N323" s="510"/>
      <c r="O323" s="510"/>
      <c r="P323" s="510"/>
      <c r="Q323" s="510"/>
      <c r="R323" s="510"/>
      <c r="S323" s="510"/>
      <c r="T323" s="510"/>
      <c r="U323" s="510"/>
      <c r="V323" s="510"/>
      <c r="W323" s="510"/>
      <c r="X323" s="510"/>
      <c r="Y323" s="510"/>
      <c r="Z323" s="510"/>
      <c r="AA323" s="510"/>
      <c r="AB323" s="510"/>
      <c r="AC323" s="510"/>
      <c r="AD323" s="510"/>
      <c r="AE323" s="510"/>
      <c r="AF323" s="510"/>
      <c r="AG323" s="510"/>
      <c r="AH323" s="510"/>
      <c r="AI323" s="510"/>
      <c r="AJ323" s="510"/>
      <c r="AK323" s="510"/>
      <c r="AL323" s="510"/>
      <c r="AM323" s="510"/>
      <c r="AN323" s="510"/>
      <c r="AO323" s="510"/>
      <c r="AP323" s="510"/>
      <c r="AQ323" s="510"/>
      <c r="AR323" s="510"/>
      <c r="AS323" s="510"/>
      <c r="AT323" s="510"/>
      <c r="AU323" s="510"/>
      <c r="AV323" s="510"/>
      <c r="AW323" s="510"/>
    </row>
    <row r="324" spans="1:49" s="11" customFormat="1" ht="21" customHeight="1" thickBot="1" x14ac:dyDescent="0.3">
      <c r="A324" s="510" t="str">
        <f>A16</f>
        <v>Pentru seria de studenti 2019-2022</v>
      </c>
      <c r="B324" s="510"/>
      <c r="C324" s="510"/>
      <c r="D324" s="510"/>
      <c r="E324" s="510"/>
      <c r="F324" s="510"/>
      <c r="G324" s="510"/>
      <c r="H324" s="510"/>
      <c r="I324" s="510"/>
      <c r="J324" s="510"/>
      <c r="K324" s="510"/>
      <c r="L324" s="510"/>
      <c r="M324" s="510"/>
      <c r="N324" s="510"/>
      <c r="O324" s="510"/>
      <c r="P324" s="510"/>
      <c r="Q324" s="510"/>
      <c r="R324" s="510"/>
      <c r="S324" s="510"/>
      <c r="T324" s="510"/>
      <c r="U324" s="510"/>
      <c r="V324" s="510"/>
      <c r="W324" s="510"/>
      <c r="X324" s="510"/>
      <c r="Y324" s="510"/>
      <c r="Z324" s="510"/>
      <c r="AA324" s="510"/>
      <c r="AB324" s="510"/>
      <c r="AC324" s="510"/>
      <c r="AD324" s="510"/>
      <c r="AE324" s="510"/>
      <c r="AF324" s="510"/>
      <c r="AG324" s="510"/>
      <c r="AH324" s="510"/>
      <c r="AI324" s="510"/>
      <c r="AJ324" s="510"/>
      <c r="AK324" s="510"/>
      <c r="AL324" s="510"/>
      <c r="AM324" s="510"/>
      <c r="AN324" s="510"/>
      <c r="AO324" s="510"/>
      <c r="AP324" s="510"/>
      <c r="AQ324" s="510"/>
      <c r="AR324" s="510"/>
      <c r="AS324" s="510"/>
      <c r="AT324" s="510"/>
      <c r="AU324" s="510"/>
      <c r="AV324" s="510"/>
      <c r="AW324" s="510"/>
    </row>
    <row r="325" spans="1:49" s="11" customFormat="1" ht="21" customHeight="1" thickTop="1" thickBot="1" x14ac:dyDescent="0.3">
      <c r="B325" s="483" t="str">
        <f>B17</f>
        <v>ANUL I (2019-2020)</v>
      </c>
      <c r="C325" s="484"/>
      <c r="D325" s="484"/>
      <c r="E325" s="484"/>
      <c r="F325" s="484"/>
      <c r="G325" s="484"/>
      <c r="H325" s="484"/>
      <c r="I325" s="484"/>
      <c r="J325" s="484"/>
      <c r="K325" s="484"/>
      <c r="L325" s="484"/>
      <c r="M325" s="484"/>
      <c r="N325" s="484"/>
      <c r="O325" s="484"/>
      <c r="P325" s="484"/>
      <c r="Q325" s="484"/>
      <c r="R325" s="484"/>
      <c r="S325" s="484"/>
      <c r="T325" s="484"/>
      <c r="U325" s="484"/>
      <c r="V325" s="484"/>
      <c r="W325" s="484"/>
      <c r="X325" s="484"/>
      <c r="Y325" s="484"/>
      <c r="Z325" s="483" t="str">
        <f>Z17</f>
        <v>ANUL II (2020-2021)</v>
      </c>
      <c r="AA325" s="484"/>
      <c r="AB325" s="484"/>
      <c r="AC325" s="484"/>
      <c r="AD325" s="484"/>
      <c r="AE325" s="484"/>
      <c r="AF325" s="484"/>
      <c r="AG325" s="484"/>
      <c r="AH325" s="484"/>
      <c r="AI325" s="484"/>
      <c r="AJ325" s="484"/>
      <c r="AK325" s="484"/>
      <c r="AL325" s="484"/>
      <c r="AM325" s="484"/>
      <c r="AN325" s="484"/>
      <c r="AO325" s="484"/>
      <c r="AP325" s="484"/>
      <c r="AQ325" s="484"/>
      <c r="AR325" s="484"/>
      <c r="AS325" s="484"/>
      <c r="AT325" s="484"/>
      <c r="AU325" s="484"/>
      <c r="AV325" s="484"/>
      <c r="AW325" s="484"/>
    </row>
    <row r="326" spans="1:49" s="11" customFormat="1" ht="21" customHeight="1" thickTop="1" thickBot="1" x14ac:dyDescent="0.3">
      <c r="A326" s="18"/>
      <c r="B326" s="483" t="s">
        <v>1</v>
      </c>
      <c r="C326" s="484"/>
      <c r="D326" s="484"/>
      <c r="E326" s="484"/>
      <c r="F326" s="484"/>
      <c r="G326" s="484"/>
      <c r="H326" s="484"/>
      <c r="I326" s="484"/>
      <c r="J326" s="484"/>
      <c r="K326" s="484"/>
      <c r="L326" s="484"/>
      <c r="M326" s="484"/>
      <c r="N326" s="483" t="s">
        <v>2</v>
      </c>
      <c r="O326" s="484"/>
      <c r="P326" s="484"/>
      <c r="Q326" s="484"/>
      <c r="R326" s="484"/>
      <c r="S326" s="484"/>
      <c r="T326" s="484"/>
      <c r="U326" s="484"/>
      <c r="V326" s="484"/>
      <c r="W326" s="484"/>
      <c r="X326" s="484"/>
      <c r="Y326" s="484"/>
      <c r="Z326" s="483" t="s">
        <v>3</v>
      </c>
      <c r="AA326" s="484"/>
      <c r="AB326" s="484"/>
      <c r="AC326" s="484"/>
      <c r="AD326" s="484"/>
      <c r="AE326" s="484"/>
      <c r="AF326" s="484"/>
      <c r="AG326" s="484"/>
      <c r="AH326" s="484"/>
      <c r="AI326" s="484"/>
      <c r="AJ326" s="484"/>
      <c r="AK326" s="484"/>
      <c r="AL326" s="483" t="s">
        <v>4</v>
      </c>
      <c r="AM326" s="484"/>
      <c r="AN326" s="484"/>
      <c r="AO326" s="484"/>
      <c r="AP326" s="484"/>
      <c r="AQ326" s="484"/>
      <c r="AR326" s="484"/>
      <c r="AS326" s="484"/>
      <c r="AT326" s="484"/>
      <c r="AU326" s="484"/>
      <c r="AV326" s="484"/>
      <c r="AW326" s="484"/>
    </row>
    <row r="327" spans="1:49" s="11" customFormat="1" ht="21" customHeight="1" thickTop="1" x14ac:dyDescent="0.25">
      <c r="A327" s="513" t="s">
        <v>66</v>
      </c>
      <c r="B327" s="494" t="s">
        <v>356</v>
      </c>
      <c r="C327" s="495"/>
      <c r="D327" s="495"/>
      <c r="E327" s="495"/>
      <c r="F327" s="495"/>
      <c r="G327" s="495"/>
      <c r="H327" s="495"/>
      <c r="I327" s="495"/>
      <c r="J327" s="495"/>
      <c r="K327" s="495"/>
      <c r="L327" s="495"/>
      <c r="M327" s="496"/>
      <c r="N327" s="494" t="s">
        <v>382</v>
      </c>
      <c r="O327" s="495"/>
      <c r="P327" s="495"/>
      <c r="Q327" s="495"/>
      <c r="R327" s="495"/>
      <c r="S327" s="495"/>
      <c r="T327" s="495"/>
      <c r="U327" s="495"/>
      <c r="V327" s="495"/>
      <c r="W327" s="495"/>
      <c r="X327" s="495"/>
      <c r="Y327" s="496"/>
      <c r="Z327" s="494" t="s">
        <v>383</v>
      </c>
      <c r="AA327" s="495"/>
      <c r="AB327" s="495"/>
      <c r="AC327" s="495"/>
      <c r="AD327" s="495"/>
      <c r="AE327" s="495"/>
      <c r="AF327" s="495"/>
      <c r="AG327" s="495"/>
      <c r="AH327" s="495"/>
      <c r="AI327" s="495"/>
      <c r="AJ327" s="495"/>
      <c r="AK327" s="496"/>
      <c r="AL327" s="494" t="s">
        <v>358</v>
      </c>
      <c r="AM327" s="495"/>
      <c r="AN327" s="495"/>
      <c r="AO327" s="495"/>
      <c r="AP327" s="495"/>
      <c r="AQ327" s="495"/>
      <c r="AR327" s="495"/>
      <c r="AS327" s="495"/>
      <c r="AT327" s="495"/>
      <c r="AU327" s="495"/>
      <c r="AV327" s="495"/>
      <c r="AW327" s="496"/>
    </row>
    <row r="328" spans="1:49" s="11" customFormat="1" ht="21" customHeight="1" x14ac:dyDescent="0.25">
      <c r="A328" s="514"/>
      <c r="B328" s="497"/>
      <c r="C328" s="498"/>
      <c r="D328" s="498"/>
      <c r="E328" s="498"/>
      <c r="F328" s="498"/>
      <c r="G328" s="498"/>
      <c r="H328" s="498"/>
      <c r="I328" s="498"/>
      <c r="J328" s="498"/>
      <c r="K328" s="498"/>
      <c r="L328" s="498"/>
      <c r="M328" s="499"/>
      <c r="N328" s="497"/>
      <c r="O328" s="498"/>
      <c r="P328" s="498"/>
      <c r="Q328" s="498"/>
      <c r="R328" s="498"/>
      <c r="S328" s="498"/>
      <c r="T328" s="498"/>
      <c r="U328" s="498"/>
      <c r="V328" s="498"/>
      <c r="W328" s="498"/>
      <c r="X328" s="498"/>
      <c r="Y328" s="499"/>
      <c r="Z328" s="497"/>
      <c r="AA328" s="498"/>
      <c r="AB328" s="498"/>
      <c r="AC328" s="498"/>
      <c r="AD328" s="498"/>
      <c r="AE328" s="498"/>
      <c r="AF328" s="498"/>
      <c r="AG328" s="498"/>
      <c r="AH328" s="498"/>
      <c r="AI328" s="498"/>
      <c r="AJ328" s="498"/>
      <c r="AK328" s="499"/>
      <c r="AL328" s="497"/>
      <c r="AM328" s="498"/>
      <c r="AN328" s="498"/>
      <c r="AO328" s="498"/>
      <c r="AP328" s="498"/>
      <c r="AQ328" s="498"/>
      <c r="AR328" s="498"/>
      <c r="AS328" s="498"/>
      <c r="AT328" s="498"/>
      <c r="AU328" s="498"/>
      <c r="AV328" s="498"/>
      <c r="AW328" s="499"/>
    </row>
    <row r="329" spans="1:49" s="11" customFormat="1" ht="21" customHeight="1" thickBot="1" x14ac:dyDescent="0.3">
      <c r="A329" s="515"/>
      <c r="B329" s="507" t="str">
        <f>IF(ISBLANK(B327),"",CONCATENATE($E$12,$F$12,".",$G$12,".","0",RIGHT($B$326,1),".",RIGHT(L329,1),$A$49,"-",A327))</f>
        <v>L420.19.01.C11-01</v>
      </c>
      <c r="C329" s="508"/>
      <c r="D329" s="509"/>
      <c r="E329" s="430">
        <v>4</v>
      </c>
      <c r="F329" s="429" t="s">
        <v>5</v>
      </c>
      <c r="G329" s="431">
        <v>0</v>
      </c>
      <c r="H329" s="432">
        <v>28</v>
      </c>
      <c r="I329" s="432">
        <v>0</v>
      </c>
      <c r="J329" s="433">
        <v>0</v>
      </c>
      <c r="K329" s="363">
        <v>0</v>
      </c>
      <c r="L329" s="365" t="s">
        <v>7</v>
      </c>
      <c r="M329" s="363">
        <f>E329*25-G329-H329-I329-J329-K329</f>
        <v>72</v>
      </c>
      <c r="N329" s="507" t="str">
        <f>IF(ISBLANK(N327),"",CONCATENATE($E$12,$F$12,".",$G$12,".","0",RIGHT($N$326,1),".",RIGHT(X329,1),$A$49,"-",A327))</f>
        <v>L420.19.02.C11-01</v>
      </c>
      <c r="O329" s="508"/>
      <c r="P329" s="509"/>
      <c r="Q329" s="364">
        <v>5</v>
      </c>
      <c r="R329" s="365" t="s">
        <v>5</v>
      </c>
      <c r="S329" s="366">
        <v>0</v>
      </c>
      <c r="T329" s="367">
        <v>28</v>
      </c>
      <c r="U329" s="367">
        <v>0</v>
      </c>
      <c r="V329" s="368">
        <v>0</v>
      </c>
      <c r="W329" s="363">
        <v>0</v>
      </c>
      <c r="X329" s="365" t="s">
        <v>7</v>
      </c>
      <c r="Y329" s="363">
        <f>Q329*25-S329-T329-U329-V329-W329</f>
        <v>97</v>
      </c>
      <c r="Z329" s="507" t="str">
        <f>IF(ISBLANK(Z327),"",CONCATENATE($E$12,$F$12,".",$G$12,".","0",RIGHT($Z$326,1),".",RIGHT(AJ329,1),$A$49,"-",A327))</f>
        <v>L420.19.03.C11-01</v>
      </c>
      <c r="AA329" s="508"/>
      <c r="AB329" s="509"/>
      <c r="AC329" s="364">
        <v>5</v>
      </c>
      <c r="AD329" s="365" t="s">
        <v>5</v>
      </c>
      <c r="AE329" s="366">
        <v>0</v>
      </c>
      <c r="AF329" s="367">
        <v>28</v>
      </c>
      <c r="AG329" s="367">
        <v>0</v>
      </c>
      <c r="AH329" s="368">
        <v>0</v>
      </c>
      <c r="AI329" s="363">
        <v>0</v>
      </c>
      <c r="AJ329" s="365" t="s">
        <v>7</v>
      </c>
      <c r="AK329" s="363">
        <f>AC329*25-AE329-AF329-AG329-AH329-AI329</f>
        <v>97</v>
      </c>
      <c r="AL329" s="507" t="str">
        <f>IF(ISBLANK(AL327),"",CONCATENATE($E$12,$F$12,".",$G$12,".","0",RIGHT($AL$326,1),".",RIGHT(AV329,1),$A$49,"-",A327))</f>
        <v>L420.19.04.C11-01</v>
      </c>
      <c r="AM329" s="508"/>
      <c r="AN329" s="509"/>
      <c r="AO329" s="430">
        <v>2</v>
      </c>
      <c r="AP329" s="429" t="s">
        <v>5</v>
      </c>
      <c r="AQ329" s="431">
        <v>0</v>
      </c>
      <c r="AR329" s="432">
        <v>28</v>
      </c>
      <c r="AS329" s="432">
        <v>0</v>
      </c>
      <c r="AT329" s="433">
        <v>0</v>
      </c>
      <c r="AU329" s="363">
        <v>0</v>
      </c>
      <c r="AV329" s="365" t="s">
        <v>7</v>
      </c>
      <c r="AW329" s="363">
        <v>0</v>
      </c>
    </row>
    <row r="330" spans="1:49" s="11" customFormat="1" ht="21" customHeight="1" thickTop="1" x14ac:dyDescent="0.25">
      <c r="A330" s="513" t="s">
        <v>67</v>
      </c>
      <c r="B330" s="494"/>
      <c r="C330" s="495"/>
      <c r="D330" s="495"/>
      <c r="E330" s="495"/>
      <c r="F330" s="495"/>
      <c r="G330" s="495"/>
      <c r="H330" s="495"/>
      <c r="I330" s="495"/>
      <c r="J330" s="495"/>
      <c r="K330" s="495"/>
      <c r="L330" s="495"/>
      <c r="M330" s="496"/>
      <c r="N330" s="494" t="s">
        <v>357</v>
      </c>
      <c r="O330" s="495"/>
      <c r="P330" s="495"/>
      <c r="Q330" s="495"/>
      <c r="R330" s="495"/>
      <c r="S330" s="495"/>
      <c r="T330" s="495"/>
      <c r="U330" s="495"/>
      <c r="V330" s="495"/>
      <c r="W330" s="495"/>
      <c r="X330" s="495"/>
      <c r="Y330" s="496"/>
      <c r="Z330" s="494"/>
      <c r="AA330" s="495"/>
      <c r="AB330" s="495"/>
      <c r="AC330" s="495"/>
      <c r="AD330" s="495"/>
      <c r="AE330" s="495"/>
      <c r="AF330" s="495"/>
      <c r="AG330" s="495"/>
      <c r="AH330" s="495"/>
      <c r="AI330" s="495"/>
      <c r="AJ330" s="495"/>
      <c r="AK330" s="496"/>
      <c r="AL330" s="494" t="s">
        <v>359</v>
      </c>
      <c r="AM330" s="495"/>
      <c r="AN330" s="495"/>
      <c r="AO330" s="495"/>
      <c r="AP330" s="495"/>
      <c r="AQ330" s="495"/>
      <c r="AR330" s="495"/>
      <c r="AS330" s="495"/>
      <c r="AT330" s="495"/>
      <c r="AU330" s="495"/>
      <c r="AV330" s="495"/>
      <c r="AW330" s="496"/>
    </row>
    <row r="331" spans="1:49" s="11" customFormat="1" ht="21" customHeight="1" x14ac:dyDescent="0.25">
      <c r="A331" s="514"/>
      <c r="B331" s="497"/>
      <c r="C331" s="498"/>
      <c r="D331" s="498"/>
      <c r="E331" s="498"/>
      <c r="F331" s="498"/>
      <c r="G331" s="498"/>
      <c r="H331" s="498"/>
      <c r="I331" s="498"/>
      <c r="J331" s="498"/>
      <c r="K331" s="498"/>
      <c r="L331" s="498"/>
      <c r="M331" s="499"/>
      <c r="N331" s="497"/>
      <c r="O331" s="498"/>
      <c r="P331" s="498"/>
      <c r="Q331" s="498"/>
      <c r="R331" s="498"/>
      <c r="S331" s="498"/>
      <c r="T331" s="498"/>
      <c r="U331" s="498"/>
      <c r="V331" s="498"/>
      <c r="W331" s="498"/>
      <c r="X331" s="498"/>
      <c r="Y331" s="499"/>
      <c r="Z331" s="497"/>
      <c r="AA331" s="498"/>
      <c r="AB331" s="498"/>
      <c r="AC331" s="498"/>
      <c r="AD331" s="498"/>
      <c r="AE331" s="498"/>
      <c r="AF331" s="498"/>
      <c r="AG331" s="498"/>
      <c r="AH331" s="498"/>
      <c r="AI331" s="498"/>
      <c r="AJ331" s="498"/>
      <c r="AK331" s="499"/>
      <c r="AL331" s="497"/>
      <c r="AM331" s="498"/>
      <c r="AN331" s="498"/>
      <c r="AO331" s="498"/>
      <c r="AP331" s="498"/>
      <c r="AQ331" s="498"/>
      <c r="AR331" s="498"/>
      <c r="AS331" s="498"/>
      <c r="AT331" s="498"/>
      <c r="AU331" s="498"/>
      <c r="AV331" s="498"/>
      <c r="AW331" s="499"/>
    </row>
    <row r="332" spans="1:49" s="11" customFormat="1" ht="21" customHeight="1" thickBot="1" x14ac:dyDescent="0.3">
      <c r="A332" s="515"/>
      <c r="B332" s="507" t="str">
        <f>IF(ISBLANK(B330),"",CONCATENATE($E$12,$F$12,".",$G$12,".","0",RIGHT($B$326,1),".",RIGHT(L332,1),$A$49,"-",A330))</f>
        <v/>
      </c>
      <c r="C332" s="508"/>
      <c r="D332" s="509"/>
      <c r="E332" s="364"/>
      <c r="F332" s="365"/>
      <c r="G332" s="366"/>
      <c r="H332" s="367"/>
      <c r="I332" s="367"/>
      <c r="J332" s="368"/>
      <c r="K332" s="363"/>
      <c r="L332" s="365"/>
      <c r="M332" s="363"/>
      <c r="N332" s="507" t="str">
        <f>IF(ISBLANK(N330),"",CONCATENATE($E$12,$F$12,".",$G$12,".","0",RIGHT($N$326,1),".",RIGHT(X332,1),$A$49,"-",A330))</f>
        <v>L420.19.02.C11-02</v>
      </c>
      <c r="O332" s="508"/>
      <c r="P332" s="509"/>
      <c r="Q332" s="430">
        <v>2</v>
      </c>
      <c r="R332" s="429" t="s">
        <v>6</v>
      </c>
      <c r="S332" s="431">
        <v>0</v>
      </c>
      <c r="T332" s="432">
        <v>0</v>
      </c>
      <c r="U332" s="432">
        <v>28</v>
      </c>
      <c r="V332" s="433">
        <v>0</v>
      </c>
      <c r="W332" s="363"/>
      <c r="X332" s="365" t="s">
        <v>7</v>
      </c>
      <c r="Y332" s="363">
        <f>Q332*25-S332-T332-U332-V332-W332</f>
        <v>22</v>
      </c>
      <c r="Z332" s="507" t="str">
        <f>IF(ISBLANK(Z330),"",CONCATENATE($E$12,$F$12,".",$G$12,".","0",RIGHT($Z$326,1),".",RIGHT(AJ332,1),$A$49,"-",A330))</f>
        <v/>
      </c>
      <c r="AA332" s="508"/>
      <c r="AB332" s="509"/>
      <c r="AC332" s="364"/>
      <c r="AD332" s="365"/>
      <c r="AE332" s="366"/>
      <c r="AF332" s="367"/>
      <c r="AG332" s="367"/>
      <c r="AH332" s="368"/>
      <c r="AI332" s="363"/>
      <c r="AJ332" s="365"/>
      <c r="AK332" s="363"/>
      <c r="AL332" s="507" t="str">
        <f>IF(ISBLANK(AL330),"",CONCATENATE($E$12,$F$12,".",$G$12,".","0",RIGHT($AL$326,1),".",RIGHT(AV332,1),$A$49,"-",A330))</f>
        <v>L420.19.04.C11-02</v>
      </c>
      <c r="AM332" s="508"/>
      <c r="AN332" s="509"/>
      <c r="AO332" s="430">
        <v>5</v>
      </c>
      <c r="AP332" s="429" t="s">
        <v>5</v>
      </c>
      <c r="AQ332" s="431">
        <v>0</v>
      </c>
      <c r="AR332" s="432">
        <v>28</v>
      </c>
      <c r="AS332" s="432">
        <v>0</v>
      </c>
      <c r="AT332" s="433">
        <v>0</v>
      </c>
      <c r="AU332" s="363">
        <v>0</v>
      </c>
      <c r="AV332" s="365" t="s">
        <v>7</v>
      </c>
      <c r="AW332" s="363">
        <f>AO332*25-AQ332-AR332-AS332-AT332-AU332</f>
        <v>97</v>
      </c>
    </row>
    <row r="333" spans="1:49" s="11" customFormat="1" ht="21" customHeight="1" thickTop="1" x14ac:dyDescent="0.25">
      <c r="A333" s="513" t="s">
        <v>68</v>
      </c>
      <c r="B333" s="494"/>
      <c r="C333" s="495"/>
      <c r="D333" s="495"/>
      <c r="E333" s="495"/>
      <c r="F333" s="495"/>
      <c r="G333" s="495"/>
      <c r="H333" s="495"/>
      <c r="I333" s="495"/>
      <c r="J333" s="495"/>
      <c r="K333" s="495"/>
      <c r="L333" s="495"/>
      <c r="M333" s="496"/>
      <c r="N333" s="494"/>
      <c r="O333" s="495"/>
      <c r="P333" s="495"/>
      <c r="Q333" s="495"/>
      <c r="R333" s="495"/>
      <c r="S333" s="495"/>
      <c r="T333" s="495"/>
      <c r="U333" s="495"/>
      <c r="V333" s="495"/>
      <c r="W333" s="495"/>
      <c r="X333" s="495"/>
      <c r="Y333" s="496"/>
      <c r="Z333" s="494"/>
      <c r="AA333" s="495"/>
      <c r="AB333" s="495"/>
      <c r="AC333" s="495"/>
      <c r="AD333" s="495"/>
      <c r="AE333" s="495"/>
      <c r="AF333" s="495"/>
      <c r="AG333" s="495"/>
      <c r="AH333" s="495"/>
      <c r="AI333" s="495"/>
      <c r="AJ333" s="495"/>
      <c r="AK333" s="496"/>
      <c r="AL333" s="494"/>
      <c r="AM333" s="495"/>
      <c r="AN333" s="495"/>
      <c r="AO333" s="495"/>
      <c r="AP333" s="495"/>
      <c r="AQ333" s="495"/>
      <c r="AR333" s="495"/>
      <c r="AS333" s="495"/>
      <c r="AT333" s="495"/>
      <c r="AU333" s="495"/>
      <c r="AV333" s="495"/>
      <c r="AW333" s="496"/>
    </row>
    <row r="334" spans="1:49" s="11" customFormat="1" ht="21" customHeight="1" x14ac:dyDescent="0.25">
      <c r="A334" s="514"/>
      <c r="B334" s="497"/>
      <c r="C334" s="498"/>
      <c r="D334" s="498"/>
      <c r="E334" s="498"/>
      <c r="F334" s="498"/>
      <c r="G334" s="498"/>
      <c r="H334" s="498"/>
      <c r="I334" s="498"/>
      <c r="J334" s="498"/>
      <c r="K334" s="498"/>
      <c r="L334" s="498"/>
      <c r="M334" s="499"/>
      <c r="N334" s="497"/>
      <c r="O334" s="498"/>
      <c r="P334" s="498"/>
      <c r="Q334" s="498"/>
      <c r="R334" s="498"/>
      <c r="S334" s="498"/>
      <c r="T334" s="498"/>
      <c r="U334" s="498"/>
      <c r="V334" s="498"/>
      <c r="W334" s="498"/>
      <c r="X334" s="498"/>
      <c r="Y334" s="499"/>
      <c r="Z334" s="497"/>
      <c r="AA334" s="498"/>
      <c r="AB334" s="498"/>
      <c r="AC334" s="498"/>
      <c r="AD334" s="498"/>
      <c r="AE334" s="498"/>
      <c r="AF334" s="498"/>
      <c r="AG334" s="498"/>
      <c r="AH334" s="498"/>
      <c r="AI334" s="498"/>
      <c r="AJ334" s="498"/>
      <c r="AK334" s="499"/>
      <c r="AL334" s="497"/>
      <c r="AM334" s="498"/>
      <c r="AN334" s="498"/>
      <c r="AO334" s="498"/>
      <c r="AP334" s="498"/>
      <c r="AQ334" s="498"/>
      <c r="AR334" s="498"/>
      <c r="AS334" s="498"/>
      <c r="AT334" s="498"/>
      <c r="AU334" s="498"/>
      <c r="AV334" s="498"/>
      <c r="AW334" s="499"/>
    </row>
    <row r="335" spans="1:49" s="11" customFormat="1" ht="21" customHeight="1" thickBot="1" x14ac:dyDescent="0.3">
      <c r="A335" s="515"/>
      <c r="B335" s="507" t="str">
        <f>IF(ISBLANK(B333),"",CONCATENATE($E$12,$F$12,".",$G$12,".","0",RIGHT($B$326,1),".",RIGHT(L335,1),$A$49,"-",A333))</f>
        <v/>
      </c>
      <c r="C335" s="508"/>
      <c r="D335" s="509"/>
      <c r="E335" s="412"/>
      <c r="F335" s="413"/>
      <c r="G335" s="414"/>
      <c r="H335" s="415"/>
      <c r="I335" s="415"/>
      <c r="J335" s="416"/>
      <c r="K335" s="417"/>
      <c r="L335" s="417"/>
      <c r="M335" s="417"/>
      <c r="N335" s="507" t="str">
        <f>IF(ISBLANK(N333),"",CONCATENATE($E$12,$F$12,".",$G$12,".","0",RIGHT($N$326,1),".",RIGHT(X335,1),$A$49,"-",A333))</f>
        <v/>
      </c>
      <c r="O335" s="508"/>
      <c r="P335" s="509"/>
      <c r="Q335" s="412"/>
      <c r="R335" s="413"/>
      <c r="S335" s="414"/>
      <c r="T335" s="415"/>
      <c r="U335" s="415"/>
      <c r="V335" s="416"/>
      <c r="W335" s="417"/>
      <c r="X335" s="413"/>
      <c r="Y335" s="417"/>
      <c r="Z335" s="507" t="str">
        <f>IF(ISBLANK(Z333),"",CONCATENATE($E$12,$F$12,".",$G$12,".","0",RIGHT($Z$326,1),".",RIGHT(AJ335,1),$A$49,"-",A333))</f>
        <v/>
      </c>
      <c r="AA335" s="508"/>
      <c r="AB335" s="509"/>
      <c r="AC335" s="364"/>
      <c r="AD335" s="365"/>
      <c r="AE335" s="366"/>
      <c r="AF335" s="367"/>
      <c r="AG335" s="367"/>
      <c r="AH335" s="368"/>
      <c r="AI335" s="363"/>
      <c r="AJ335" s="365"/>
      <c r="AK335" s="363"/>
      <c r="AL335" s="507" t="str">
        <f>IF(ISBLANK(AL333),"",CONCATENATE($E$12,$F$12,".",$G$12,".","0",RIGHT($AL$326,1),".",RIGHT(AV335,1),$A$49,"-",A333))</f>
        <v/>
      </c>
      <c r="AM335" s="508"/>
      <c r="AN335" s="509"/>
      <c r="AO335" s="364"/>
      <c r="AP335" s="365"/>
      <c r="AQ335" s="366"/>
      <c r="AR335" s="367"/>
      <c r="AS335" s="367"/>
      <c r="AT335" s="368"/>
      <c r="AU335" s="363"/>
      <c r="AV335" s="365"/>
      <c r="AW335" s="363"/>
    </row>
    <row r="336" spans="1:49" s="11" customFormat="1" ht="21" customHeight="1" thickTop="1" x14ac:dyDescent="0.25">
      <c r="A336" s="513" t="s">
        <v>69</v>
      </c>
      <c r="B336" s="494"/>
      <c r="C336" s="495"/>
      <c r="D336" s="495"/>
      <c r="E336" s="495"/>
      <c r="F336" s="495"/>
      <c r="G336" s="495"/>
      <c r="H336" s="495"/>
      <c r="I336" s="495"/>
      <c r="J336" s="495"/>
      <c r="K336" s="495"/>
      <c r="L336" s="495"/>
      <c r="M336" s="496"/>
      <c r="N336" s="494"/>
      <c r="O336" s="495"/>
      <c r="P336" s="495"/>
      <c r="Q336" s="495"/>
      <c r="R336" s="495"/>
      <c r="S336" s="495"/>
      <c r="T336" s="495"/>
      <c r="U336" s="495"/>
      <c r="V336" s="495"/>
      <c r="W336" s="495"/>
      <c r="X336" s="495"/>
      <c r="Y336" s="496"/>
      <c r="Z336" s="494"/>
      <c r="AA336" s="495"/>
      <c r="AB336" s="495"/>
      <c r="AC336" s="495"/>
      <c r="AD336" s="495"/>
      <c r="AE336" s="495"/>
      <c r="AF336" s="495"/>
      <c r="AG336" s="495"/>
      <c r="AH336" s="495"/>
      <c r="AI336" s="495"/>
      <c r="AJ336" s="495"/>
      <c r="AK336" s="496"/>
      <c r="AL336" s="494"/>
      <c r="AM336" s="495"/>
      <c r="AN336" s="495"/>
      <c r="AO336" s="495"/>
      <c r="AP336" s="495"/>
      <c r="AQ336" s="495"/>
      <c r="AR336" s="495"/>
      <c r="AS336" s="495"/>
      <c r="AT336" s="495"/>
      <c r="AU336" s="495"/>
      <c r="AV336" s="495"/>
      <c r="AW336" s="496"/>
    </row>
    <row r="337" spans="1:49" s="11" customFormat="1" ht="21" customHeight="1" x14ac:dyDescent="0.25">
      <c r="A337" s="514"/>
      <c r="B337" s="497"/>
      <c r="C337" s="498"/>
      <c r="D337" s="498"/>
      <c r="E337" s="498"/>
      <c r="F337" s="498"/>
      <c r="G337" s="498"/>
      <c r="H337" s="498"/>
      <c r="I337" s="498"/>
      <c r="J337" s="498"/>
      <c r="K337" s="498"/>
      <c r="L337" s="498"/>
      <c r="M337" s="499"/>
      <c r="N337" s="497"/>
      <c r="O337" s="498"/>
      <c r="P337" s="498"/>
      <c r="Q337" s="498"/>
      <c r="R337" s="498"/>
      <c r="S337" s="498"/>
      <c r="T337" s="498"/>
      <c r="U337" s="498"/>
      <c r="V337" s="498"/>
      <c r="W337" s="498"/>
      <c r="X337" s="498"/>
      <c r="Y337" s="499"/>
      <c r="Z337" s="497"/>
      <c r="AA337" s="498"/>
      <c r="AB337" s="498"/>
      <c r="AC337" s="498"/>
      <c r="AD337" s="498"/>
      <c r="AE337" s="498"/>
      <c r="AF337" s="498"/>
      <c r="AG337" s="498"/>
      <c r="AH337" s="498"/>
      <c r="AI337" s="498"/>
      <c r="AJ337" s="498"/>
      <c r="AK337" s="499"/>
      <c r="AL337" s="497"/>
      <c r="AM337" s="498"/>
      <c r="AN337" s="498"/>
      <c r="AO337" s="498"/>
      <c r="AP337" s="498"/>
      <c r="AQ337" s="498"/>
      <c r="AR337" s="498"/>
      <c r="AS337" s="498"/>
      <c r="AT337" s="498"/>
      <c r="AU337" s="498"/>
      <c r="AV337" s="498"/>
      <c r="AW337" s="499"/>
    </row>
    <row r="338" spans="1:49" s="15" customFormat="1" ht="21" customHeight="1" thickBot="1" x14ac:dyDescent="0.25">
      <c r="A338" s="515"/>
      <c r="B338" s="529" t="str">
        <f>IF(ISBLANK(B336),"",CONCATENATE($E$12,$F$12,".",$G$12,".","0",RIGHT($B$326,1),".",RIGHT(L338,1),$A$49,"-",A336))</f>
        <v/>
      </c>
      <c r="C338" s="530"/>
      <c r="D338" s="531"/>
      <c r="E338" s="412"/>
      <c r="F338" s="413"/>
      <c r="G338" s="414"/>
      <c r="H338" s="415"/>
      <c r="I338" s="415"/>
      <c r="J338" s="416"/>
      <c r="K338" s="417"/>
      <c r="L338" s="417"/>
      <c r="M338" s="417"/>
      <c r="N338" s="529" t="str">
        <f>IF(ISBLANK(N336),"",CONCATENATE($E$12,$F$12,".",$G$12,".","0",RIGHT($N$326,1),".",RIGHT(X338,1),$A$49,"-",A336))</f>
        <v/>
      </c>
      <c r="O338" s="530"/>
      <c r="P338" s="531"/>
      <c r="Q338" s="412"/>
      <c r="R338" s="413"/>
      <c r="S338" s="414"/>
      <c r="T338" s="415"/>
      <c r="U338" s="415"/>
      <c r="V338" s="416"/>
      <c r="W338" s="417"/>
      <c r="X338" s="413"/>
      <c r="Y338" s="417"/>
      <c r="Z338" s="529" t="str">
        <f>IF(ISBLANK(Z336),"",CONCATENATE($E$12,$F$12,".",$G$12,".","0",RIGHT($Z$326,1),".",RIGHT(AJ338,1),$A$49,"-",A336))</f>
        <v/>
      </c>
      <c r="AA338" s="530"/>
      <c r="AB338" s="531"/>
      <c r="AC338" s="412"/>
      <c r="AD338" s="413"/>
      <c r="AE338" s="414"/>
      <c r="AF338" s="415"/>
      <c r="AG338" s="415"/>
      <c r="AH338" s="416"/>
      <c r="AI338" s="417"/>
      <c r="AJ338" s="413"/>
      <c r="AK338" s="417"/>
      <c r="AL338" s="529" t="str">
        <f>IF(ISBLANK(AL336),"",CONCATENATE($E$12,$F$12,".",$G$12,".","0",RIGHT($AL$326,1),".",RIGHT(AV338,1),$A$49,"-",A336))</f>
        <v/>
      </c>
      <c r="AM338" s="530"/>
      <c r="AN338" s="531"/>
      <c r="AO338" s="412"/>
      <c r="AP338" s="413"/>
      <c r="AQ338" s="414"/>
      <c r="AR338" s="415"/>
      <c r="AS338" s="415"/>
      <c r="AT338" s="416"/>
      <c r="AU338" s="417"/>
      <c r="AV338" s="413"/>
      <c r="AW338" s="417"/>
    </row>
    <row r="339" spans="1:49" s="15" customFormat="1" ht="21" customHeight="1" thickTop="1" x14ac:dyDescent="0.2">
      <c r="A339" s="527" t="s">
        <v>8</v>
      </c>
      <c r="B339" s="474" t="s">
        <v>9</v>
      </c>
      <c r="C339" s="475"/>
      <c r="D339" s="63"/>
      <c r="E339" s="471">
        <f>SUM(G329:J329,G332:J332,G335:J335,G338:J338)</f>
        <v>28</v>
      </c>
      <c r="F339" s="472"/>
      <c r="G339" s="470" t="s">
        <v>10</v>
      </c>
      <c r="H339" s="471"/>
      <c r="I339" s="471"/>
      <c r="J339" s="472"/>
      <c r="K339" s="470">
        <f>SUM(M329,M332,M335,M338)</f>
        <v>72</v>
      </c>
      <c r="L339" s="471"/>
      <c r="M339" s="472"/>
      <c r="N339" s="474" t="s">
        <v>9</v>
      </c>
      <c r="O339" s="475"/>
      <c r="P339" s="63"/>
      <c r="Q339" s="471">
        <f>SUM(S329:V329,S332:V332,S335:V335,S338:V338)</f>
        <v>56</v>
      </c>
      <c r="R339" s="472"/>
      <c r="S339" s="470" t="s">
        <v>10</v>
      </c>
      <c r="T339" s="471"/>
      <c r="U339" s="471"/>
      <c r="V339" s="472"/>
      <c r="W339" s="470">
        <f>SUM(Y329,Y332,Y335,Y338)</f>
        <v>119</v>
      </c>
      <c r="X339" s="471"/>
      <c r="Y339" s="472"/>
      <c r="Z339" s="474" t="s">
        <v>9</v>
      </c>
      <c r="AA339" s="475"/>
      <c r="AB339" s="63"/>
      <c r="AC339" s="471">
        <f>SUM(AE329:AH329,AE332:AH332,AE335:AH335,AE338:AH338)</f>
        <v>28</v>
      </c>
      <c r="AD339" s="472"/>
      <c r="AE339" s="470" t="s">
        <v>10</v>
      </c>
      <c r="AF339" s="471"/>
      <c r="AG339" s="471"/>
      <c r="AH339" s="472"/>
      <c r="AI339" s="470">
        <f>SUM(AK329,AK332,AK335,AK338)</f>
        <v>97</v>
      </c>
      <c r="AJ339" s="471"/>
      <c r="AK339" s="472"/>
      <c r="AL339" s="474" t="s">
        <v>9</v>
      </c>
      <c r="AM339" s="475"/>
      <c r="AN339" s="63"/>
      <c r="AO339" s="471">
        <f>SUM(AQ329:AT329,AQ332:AT332,AQ335:AT335,AQ338:AT338)</f>
        <v>56</v>
      </c>
      <c r="AP339" s="472"/>
      <c r="AQ339" s="470" t="s">
        <v>10</v>
      </c>
      <c r="AR339" s="471"/>
      <c r="AS339" s="471"/>
      <c r="AT339" s="472"/>
      <c r="AU339" s="470">
        <f>SUM(AW329,AW332,AW335,AW338)</f>
        <v>97</v>
      </c>
      <c r="AV339" s="471"/>
      <c r="AW339" s="472"/>
    </row>
    <row r="340" spans="1:49" s="15" customFormat="1" ht="21" customHeight="1" thickBot="1" x14ac:dyDescent="0.25">
      <c r="A340" s="528"/>
      <c r="B340" s="473" t="s">
        <v>11</v>
      </c>
      <c r="C340" s="466"/>
      <c r="D340" s="65"/>
      <c r="E340" s="485">
        <f>SUM(E329,E332,E335,E338)</f>
        <v>4</v>
      </c>
      <c r="F340" s="486"/>
      <c r="G340" s="473" t="s">
        <v>12</v>
      </c>
      <c r="H340" s="466"/>
      <c r="I340" s="466"/>
      <c r="J340" s="467"/>
      <c r="K340" s="473" t="str">
        <f>BD392</f>
        <v>1E,0D,0C</v>
      </c>
      <c r="L340" s="466"/>
      <c r="M340" s="467"/>
      <c r="N340" s="473" t="s">
        <v>11</v>
      </c>
      <c r="O340" s="466"/>
      <c r="P340" s="65"/>
      <c r="Q340" s="485">
        <f>SUM(Q329,Q332,Q335,Q338)</f>
        <v>7</v>
      </c>
      <c r="R340" s="486"/>
      <c r="S340" s="473" t="s">
        <v>12</v>
      </c>
      <c r="T340" s="466"/>
      <c r="U340" s="466"/>
      <c r="V340" s="467"/>
      <c r="W340" s="473" t="str">
        <f>BD393</f>
        <v>1E,0D,1C</v>
      </c>
      <c r="X340" s="466"/>
      <c r="Y340" s="467"/>
      <c r="Z340" s="473" t="s">
        <v>11</v>
      </c>
      <c r="AA340" s="466"/>
      <c r="AB340" s="65"/>
      <c r="AC340" s="485">
        <f>SUM(AC329,AC332,AC335,AC338)</f>
        <v>5</v>
      </c>
      <c r="AD340" s="486"/>
      <c r="AE340" s="473" t="s">
        <v>12</v>
      </c>
      <c r="AF340" s="466"/>
      <c r="AG340" s="466"/>
      <c r="AH340" s="467"/>
      <c r="AI340" s="473" t="str">
        <f>BD394</f>
        <v>1E,0D,0C</v>
      </c>
      <c r="AJ340" s="466"/>
      <c r="AK340" s="467"/>
      <c r="AL340" s="473" t="s">
        <v>11</v>
      </c>
      <c r="AM340" s="466"/>
      <c r="AN340" s="65"/>
      <c r="AO340" s="485">
        <f>SUM(AO329,AO332,AO335,AO338)</f>
        <v>7</v>
      </c>
      <c r="AP340" s="486"/>
      <c r="AQ340" s="473" t="s">
        <v>12</v>
      </c>
      <c r="AR340" s="466"/>
      <c r="AS340" s="466"/>
      <c r="AT340" s="467"/>
      <c r="AU340" s="473" t="str">
        <f>BD395</f>
        <v>2E,0D,0C</v>
      </c>
      <c r="AV340" s="466"/>
      <c r="AW340" s="467"/>
    </row>
    <row r="341" spans="1:49" s="15" customFormat="1" ht="21" customHeight="1" thickTop="1" x14ac:dyDescent="0.2">
      <c r="A341" s="527" t="s">
        <v>13</v>
      </c>
      <c r="B341" s="474" t="s">
        <v>9</v>
      </c>
      <c r="C341" s="475"/>
      <c r="D341" s="67"/>
      <c r="E341" s="476">
        <f>SUM(G342:J342)</f>
        <v>2</v>
      </c>
      <c r="F341" s="477"/>
      <c r="G341" s="68"/>
      <c r="H341" s="64"/>
      <c r="I341" s="64"/>
      <c r="J341" s="64"/>
      <c r="K341" s="313"/>
      <c r="L341" s="64"/>
      <c r="M341" s="73"/>
      <c r="N341" s="474" t="s">
        <v>9</v>
      </c>
      <c r="O341" s="475"/>
      <c r="P341" s="67"/>
      <c r="Q341" s="476">
        <f>SUM(S342:V342)</f>
        <v>4</v>
      </c>
      <c r="R341" s="477"/>
      <c r="S341" s="68"/>
      <c r="T341" s="64"/>
      <c r="U341" s="64"/>
      <c r="V341" s="64"/>
      <c r="W341" s="313"/>
      <c r="X341" s="64"/>
      <c r="Y341" s="73"/>
      <c r="Z341" s="474" t="s">
        <v>9</v>
      </c>
      <c r="AA341" s="475"/>
      <c r="AB341" s="67"/>
      <c r="AC341" s="476">
        <f>SUM(AE342:AH342)</f>
        <v>2</v>
      </c>
      <c r="AD341" s="477"/>
      <c r="AE341" s="68"/>
      <c r="AF341" s="64"/>
      <c r="AG341" s="64"/>
      <c r="AH341" s="64"/>
      <c r="AI341" s="313"/>
      <c r="AJ341" s="64"/>
      <c r="AK341" s="73"/>
      <c r="AL341" s="474" t="s">
        <v>9</v>
      </c>
      <c r="AM341" s="475"/>
      <c r="AN341" s="67"/>
      <c r="AO341" s="476">
        <f>SUM(AQ342:AT342)</f>
        <v>4</v>
      </c>
      <c r="AP341" s="477"/>
      <c r="AQ341" s="68"/>
      <c r="AR341" s="64"/>
      <c r="AS341" s="64"/>
      <c r="AT341" s="64"/>
      <c r="AU341" s="313"/>
      <c r="AV341" s="64"/>
      <c r="AW341" s="73"/>
    </row>
    <row r="342" spans="1:49" s="11" customFormat="1" ht="21" customHeight="1" thickBot="1" x14ac:dyDescent="0.3">
      <c r="A342" s="528"/>
      <c r="B342" s="473" t="s">
        <v>14</v>
      </c>
      <c r="C342" s="466"/>
      <c r="D342" s="65"/>
      <c r="E342" s="65"/>
      <c r="F342" s="154"/>
      <c r="G342" s="211">
        <f>(G329+G332+G335+G338)/14</f>
        <v>0</v>
      </c>
      <c r="H342" s="211">
        <f>(H329+H332+H335+H338)/14</f>
        <v>2</v>
      </c>
      <c r="I342" s="211">
        <f>(I329+I332+I335+I338)/14</f>
        <v>0</v>
      </c>
      <c r="J342" s="211">
        <f>(J329+J332+J335+J338)/14</f>
        <v>0</v>
      </c>
      <c r="K342" s="465" t="s">
        <v>15</v>
      </c>
      <c r="L342" s="466"/>
      <c r="M342" s="467"/>
      <c r="N342" s="473" t="s">
        <v>14</v>
      </c>
      <c r="O342" s="466"/>
      <c r="P342" s="65"/>
      <c r="Q342" s="65"/>
      <c r="R342" s="154"/>
      <c r="S342" s="211">
        <f>(S329+S332+S335+S338)/14</f>
        <v>0</v>
      </c>
      <c r="T342" s="211">
        <f>(T329+T332+T335+T338)/14</f>
        <v>2</v>
      </c>
      <c r="U342" s="211">
        <f>(U329+U332+U335+U338)/14</f>
        <v>2</v>
      </c>
      <c r="V342" s="211">
        <f>(V329+V332+V335+V338)/14</f>
        <v>0</v>
      </c>
      <c r="W342" s="465" t="s">
        <v>15</v>
      </c>
      <c r="X342" s="466"/>
      <c r="Y342" s="467"/>
      <c r="Z342" s="473" t="s">
        <v>14</v>
      </c>
      <c r="AA342" s="466"/>
      <c r="AB342" s="65"/>
      <c r="AC342" s="65"/>
      <c r="AD342" s="154"/>
      <c r="AE342" s="211">
        <f>(AE329+AE332+AE335+AE338)/14</f>
        <v>0</v>
      </c>
      <c r="AF342" s="211">
        <f>(AF329+AF332+AF335+AF338)/14</f>
        <v>2</v>
      </c>
      <c r="AG342" s="211">
        <f>(AG329+AG332+AG335+AG338)/14</f>
        <v>0</v>
      </c>
      <c r="AH342" s="211">
        <f>(AH329+AH332+AH335+AH338)/14</f>
        <v>0</v>
      </c>
      <c r="AI342" s="465" t="s">
        <v>15</v>
      </c>
      <c r="AJ342" s="466"/>
      <c r="AK342" s="467"/>
      <c r="AL342" s="473" t="s">
        <v>14</v>
      </c>
      <c r="AM342" s="466"/>
      <c r="AN342" s="65"/>
      <c r="AO342" s="65"/>
      <c r="AP342" s="154"/>
      <c r="AQ342" s="211">
        <f>(AQ329+AQ332+AQ335+AQ338)/14</f>
        <v>0</v>
      </c>
      <c r="AR342" s="211">
        <f>(AR329+AR332+AR335+AR338)/14</f>
        <v>4</v>
      </c>
      <c r="AS342" s="211">
        <f>(AS329+AS332+AS335+AS338)/14</f>
        <v>0</v>
      </c>
      <c r="AT342" s="211">
        <f>(AT329+AT332+AT335+AT338)/14</f>
        <v>0</v>
      </c>
      <c r="AU342" s="465" t="s">
        <v>15</v>
      </c>
      <c r="AV342" s="466"/>
      <c r="AW342" s="467"/>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64" t="s">
        <v>270</v>
      </c>
      <c r="B344" s="464"/>
      <c r="C344" s="464"/>
      <c r="D344" s="464"/>
      <c r="E344" s="464"/>
      <c r="F344" s="464"/>
      <c r="G344" s="464"/>
      <c r="H344" s="464"/>
      <c r="I344" s="464"/>
      <c r="J344" s="464"/>
      <c r="K344" s="464"/>
      <c r="L344" s="464"/>
      <c r="M344" s="464"/>
      <c r="N344" s="464"/>
      <c r="O344" s="464"/>
      <c r="P344" s="464"/>
      <c r="Q344" s="464"/>
      <c r="R344" s="464"/>
      <c r="S344" s="464"/>
      <c r="T344" s="464"/>
      <c r="U344" s="464"/>
      <c r="V344" s="464"/>
      <c r="W344" s="464"/>
      <c r="X344" s="464"/>
      <c r="Y344" s="464"/>
      <c r="Z344" s="464"/>
      <c r="AA344" s="464"/>
      <c r="AB344" s="464"/>
      <c r="AC344" s="464"/>
      <c r="AD344" s="464"/>
      <c r="AE344" s="464"/>
      <c r="AF344" s="464"/>
      <c r="AG344" s="464"/>
      <c r="AH344" s="464"/>
      <c r="AI344" s="464"/>
      <c r="AJ344" s="464"/>
      <c r="AK344" s="464"/>
      <c r="AL344" s="464"/>
      <c r="AM344" s="464"/>
      <c r="AN344" s="464"/>
      <c r="AO344" s="464"/>
      <c r="AP344" s="464"/>
      <c r="AQ344" s="464"/>
      <c r="AR344" s="464"/>
      <c r="AS344" s="464"/>
      <c r="AT344" s="464"/>
      <c r="AU344" s="464"/>
      <c r="AV344" s="464"/>
      <c r="AW344" s="464"/>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0" t="s">
        <v>0</v>
      </c>
      <c r="B346" s="510"/>
      <c r="C346" s="510"/>
      <c r="D346" s="510"/>
      <c r="E346" s="510"/>
      <c r="F346" s="510"/>
      <c r="G346" s="510"/>
      <c r="H346" s="510"/>
      <c r="I346" s="510"/>
      <c r="J346" s="510"/>
      <c r="K346" s="510"/>
      <c r="L346" s="510"/>
      <c r="M346" s="510"/>
      <c r="N346" s="510"/>
      <c r="O346" s="510"/>
      <c r="P346" s="510"/>
      <c r="Q346" s="510"/>
      <c r="R346" s="510"/>
      <c r="S346" s="510"/>
      <c r="T346" s="510"/>
      <c r="U346" s="510"/>
      <c r="V346" s="510"/>
      <c r="W346" s="510"/>
      <c r="X346" s="510"/>
      <c r="Y346" s="510"/>
      <c r="Z346" s="510"/>
      <c r="AA346" s="510"/>
      <c r="AB346" s="510"/>
      <c r="AC346" s="510"/>
      <c r="AD346" s="510"/>
      <c r="AE346" s="510"/>
      <c r="AF346" s="510"/>
      <c r="AG346" s="510"/>
      <c r="AH346" s="510"/>
      <c r="AI346" s="510"/>
      <c r="AJ346" s="510"/>
      <c r="AK346" s="510"/>
      <c r="AL346" s="510"/>
      <c r="AM346" s="510"/>
      <c r="AN346" s="510"/>
      <c r="AO346" s="510"/>
      <c r="AP346" s="510"/>
      <c r="AQ346" s="510"/>
      <c r="AR346" s="510"/>
      <c r="AS346" s="510"/>
      <c r="AT346" s="510"/>
      <c r="AU346" s="510"/>
      <c r="AV346" s="510"/>
      <c r="AW346" s="510"/>
    </row>
    <row r="347" spans="1:49" s="61" customFormat="1" ht="21" customHeight="1" thickBot="1" x14ac:dyDescent="0.3">
      <c r="A347" s="510" t="str">
        <f>A16</f>
        <v>Pentru seria de studenti 2019-2022</v>
      </c>
      <c r="B347" s="510"/>
      <c r="C347" s="510"/>
      <c r="D347" s="510"/>
      <c r="E347" s="510"/>
      <c r="F347" s="510"/>
      <c r="G347" s="510"/>
      <c r="H347" s="510"/>
      <c r="I347" s="510"/>
      <c r="J347" s="510"/>
      <c r="K347" s="510"/>
      <c r="L347" s="510"/>
      <c r="M347" s="510"/>
      <c r="N347" s="510"/>
      <c r="O347" s="510"/>
      <c r="P347" s="510"/>
      <c r="Q347" s="510"/>
      <c r="R347" s="510"/>
      <c r="S347" s="510"/>
      <c r="T347" s="510"/>
      <c r="U347" s="510"/>
      <c r="V347" s="510"/>
      <c r="W347" s="510"/>
      <c r="X347" s="510"/>
      <c r="Y347" s="510"/>
      <c r="Z347" s="510"/>
      <c r="AA347" s="510"/>
      <c r="AB347" s="510"/>
      <c r="AC347" s="510"/>
      <c r="AD347" s="510"/>
      <c r="AE347" s="510"/>
      <c r="AF347" s="510"/>
      <c r="AG347" s="510"/>
      <c r="AH347" s="510"/>
      <c r="AI347" s="510"/>
      <c r="AJ347" s="510"/>
      <c r="AK347" s="510"/>
      <c r="AL347" s="510"/>
      <c r="AM347" s="510"/>
      <c r="AN347" s="510"/>
      <c r="AO347" s="510"/>
      <c r="AP347" s="510"/>
      <c r="AQ347" s="510"/>
      <c r="AR347" s="510"/>
      <c r="AS347" s="510"/>
      <c r="AT347" s="510"/>
      <c r="AU347" s="510"/>
      <c r="AV347" s="510"/>
      <c r="AW347" s="510"/>
    </row>
    <row r="348" spans="1:49" s="61" customFormat="1" ht="21" customHeight="1" thickTop="1" thickBot="1" x14ac:dyDescent="0.3">
      <c r="B348" s="483" t="str">
        <f>B69</f>
        <v>ANUL III (2021-2022)</v>
      </c>
      <c r="C348" s="484"/>
      <c r="D348" s="484"/>
      <c r="E348" s="484"/>
      <c r="F348" s="484"/>
      <c r="G348" s="484"/>
      <c r="H348" s="484"/>
      <c r="I348" s="484"/>
      <c r="J348" s="484"/>
      <c r="K348" s="484"/>
      <c r="L348" s="484"/>
      <c r="M348" s="484"/>
      <c r="N348" s="484"/>
      <c r="O348" s="484"/>
      <c r="P348" s="484"/>
      <c r="Q348" s="484"/>
      <c r="R348" s="484"/>
      <c r="S348" s="484"/>
      <c r="T348" s="484"/>
      <c r="U348" s="484"/>
      <c r="V348" s="484"/>
      <c r="W348" s="484"/>
      <c r="X348" s="484"/>
      <c r="Y348" s="484"/>
      <c r="Z348" s="483" t="str">
        <f>Z69</f>
        <v>ANUL IV (2022-2023)</v>
      </c>
      <c r="AA348" s="484"/>
      <c r="AB348" s="484"/>
      <c r="AC348" s="484"/>
      <c r="AD348" s="484"/>
      <c r="AE348" s="484"/>
      <c r="AF348" s="484"/>
      <c r="AG348" s="484"/>
      <c r="AH348" s="484"/>
      <c r="AI348" s="484"/>
      <c r="AJ348" s="484"/>
      <c r="AK348" s="484"/>
      <c r="AL348" s="484"/>
      <c r="AM348" s="484"/>
      <c r="AN348" s="484"/>
      <c r="AO348" s="484"/>
      <c r="AP348" s="484"/>
      <c r="AQ348" s="484"/>
      <c r="AR348" s="484"/>
      <c r="AS348" s="484"/>
      <c r="AT348" s="484"/>
      <c r="AU348" s="484"/>
      <c r="AV348" s="484"/>
      <c r="AW348" s="484"/>
    </row>
    <row r="349" spans="1:49" s="61" customFormat="1" ht="21" customHeight="1" thickTop="1" thickBot="1" x14ac:dyDescent="0.3">
      <c r="A349" s="18"/>
      <c r="B349" s="483" t="s">
        <v>76</v>
      </c>
      <c r="C349" s="484"/>
      <c r="D349" s="484"/>
      <c r="E349" s="484"/>
      <c r="F349" s="484"/>
      <c r="G349" s="484"/>
      <c r="H349" s="484"/>
      <c r="I349" s="484"/>
      <c r="J349" s="484"/>
      <c r="K349" s="484"/>
      <c r="L349" s="484"/>
      <c r="M349" s="484"/>
      <c r="N349" s="483" t="s">
        <v>77</v>
      </c>
      <c r="O349" s="484"/>
      <c r="P349" s="484"/>
      <c r="Q349" s="484"/>
      <c r="R349" s="484"/>
      <c r="S349" s="484"/>
      <c r="T349" s="484"/>
      <c r="U349" s="484"/>
      <c r="V349" s="484"/>
      <c r="W349" s="484"/>
      <c r="X349" s="484"/>
      <c r="Y349" s="484"/>
      <c r="Z349" s="483" t="s">
        <v>78</v>
      </c>
      <c r="AA349" s="484"/>
      <c r="AB349" s="484"/>
      <c r="AC349" s="484"/>
      <c r="AD349" s="484"/>
      <c r="AE349" s="484"/>
      <c r="AF349" s="484"/>
      <c r="AG349" s="484"/>
      <c r="AH349" s="484"/>
      <c r="AI349" s="484"/>
      <c r="AJ349" s="484"/>
      <c r="AK349" s="484"/>
      <c r="AL349" s="483" t="s">
        <v>79</v>
      </c>
      <c r="AM349" s="484"/>
      <c r="AN349" s="484"/>
      <c r="AO349" s="484"/>
      <c r="AP349" s="484"/>
      <c r="AQ349" s="484"/>
      <c r="AR349" s="484"/>
      <c r="AS349" s="484"/>
      <c r="AT349" s="484"/>
      <c r="AU349" s="484"/>
      <c r="AV349" s="484"/>
      <c r="AW349" s="484"/>
    </row>
    <row r="350" spans="1:49" s="61" customFormat="1" ht="21" customHeight="1" thickTop="1" x14ac:dyDescent="0.25">
      <c r="A350" s="513" t="s">
        <v>66</v>
      </c>
      <c r="B350" s="494" t="s">
        <v>368</v>
      </c>
      <c r="C350" s="495"/>
      <c r="D350" s="495"/>
      <c r="E350" s="495"/>
      <c r="F350" s="495"/>
      <c r="G350" s="495"/>
      <c r="H350" s="495"/>
      <c r="I350" s="495"/>
      <c r="J350" s="495"/>
      <c r="K350" s="495"/>
      <c r="L350" s="495"/>
      <c r="M350" s="496"/>
      <c r="N350" s="494" t="s">
        <v>370</v>
      </c>
      <c r="O350" s="495"/>
      <c r="P350" s="495"/>
      <c r="Q350" s="495"/>
      <c r="R350" s="495"/>
      <c r="S350" s="495"/>
      <c r="T350" s="495"/>
      <c r="U350" s="495"/>
      <c r="V350" s="495"/>
      <c r="W350" s="495"/>
      <c r="X350" s="495"/>
      <c r="Y350" s="496"/>
      <c r="Z350" s="494"/>
      <c r="AA350" s="495"/>
      <c r="AB350" s="495"/>
      <c r="AC350" s="495"/>
      <c r="AD350" s="495"/>
      <c r="AE350" s="495"/>
      <c r="AF350" s="495"/>
      <c r="AG350" s="495"/>
      <c r="AH350" s="495"/>
      <c r="AI350" s="495"/>
      <c r="AJ350" s="495"/>
      <c r="AK350" s="496"/>
      <c r="AL350" s="494" t="s">
        <v>357</v>
      </c>
      <c r="AM350" s="495"/>
      <c r="AN350" s="495"/>
      <c r="AO350" s="495"/>
      <c r="AP350" s="495"/>
      <c r="AQ350" s="495"/>
      <c r="AR350" s="495"/>
      <c r="AS350" s="495"/>
      <c r="AT350" s="495"/>
      <c r="AU350" s="495"/>
      <c r="AV350" s="495"/>
      <c r="AW350" s="496"/>
    </row>
    <row r="351" spans="1:49" s="61" customFormat="1" ht="21" customHeight="1" x14ac:dyDescent="0.25">
      <c r="A351" s="514"/>
      <c r="B351" s="497"/>
      <c r="C351" s="498"/>
      <c r="D351" s="498"/>
      <c r="E351" s="498"/>
      <c r="F351" s="498"/>
      <c r="G351" s="498"/>
      <c r="H351" s="498"/>
      <c r="I351" s="498"/>
      <c r="J351" s="498"/>
      <c r="K351" s="498"/>
      <c r="L351" s="498"/>
      <c r="M351" s="499"/>
      <c r="N351" s="497"/>
      <c r="O351" s="498"/>
      <c r="P351" s="498"/>
      <c r="Q351" s="498"/>
      <c r="R351" s="498"/>
      <c r="S351" s="498"/>
      <c r="T351" s="498"/>
      <c r="U351" s="498"/>
      <c r="V351" s="498"/>
      <c r="W351" s="498"/>
      <c r="X351" s="498"/>
      <c r="Y351" s="499"/>
      <c r="Z351" s="497"/>
      <c r="AA351" s="498"/>
      <c r="AB351" s="498"/>
      <c r="AC351" s="498"/>
      <c r="AD351" s="498"/>
      <c r="AE351" s="498"/>
      <c r="AF351" s="498"/>
      <c r="AG351" s="498"/>
      <c r="AH351" s="498"/>
      <c r="AI351" s="498"/>
      <c r="AJ351" s="498"/>
      <c r="AK351" s="499"/>
      <c r="AL351" s="497"/>
      <c r="AM351" s="498"/>
      <c r="AN351" s="498"/>
      <c r="AO351" s="498"/>
      <c r="AP351" s="498"/>
      <c r="AQ351" s="498"/>
      <c r="AR351" s="498"/>
      <c r="AS351" s="498"/>
      <c r="AT351" s="498"/>
      <c r="AU351" s="498"/>
      <c r="AV351" s="498"/>
      <c r="AW351" s="499"/>
    </row>
    <row r="352" spans="1:49" s="61" customFormat="1" ht="21" customHeight="1" thickBot="1" x14ac:dyDescent="0.3">
      <c r="A352" s="515"/>
      <c r="B352" s="567" t="str">
        <f>IF(ISBLANK(B350),"",CONCATENATE($E$12,$F$12,".",$G$12,".","0",RIGHT($B$349,1),".",RIGHT(L352,1),$A$101,"-",A350))</f>
        <v>L420.19.05.C11-01</v>
      </c>
      <c r="C352" s="568"/>
      <c r="D352" s="569"/>
      <c r="E352" s="430">
        <v>4</v>
      </c>
      <c r="F352" s="429" t="s">
        <v>6</v>
      </c>
      <c r="G352" s="431">
        <v>0</v>
      </c>
      <c r="H352" s="432">
        <v>28</v>
      </c>
      <c r="I352" s="432">
        <v>0</v>
      </c>
      <c r="J352" s="433">
        <v>0</v>
      </c>
      <c r="K352" s="363">
        <v>0</v>
      </c>
      <c r="L352" s="365" t="s">
        <v>7</v>
      </c>
      <c r="M352" s="363">
        <f>E352*25-G352-H352-I352-J352-K352</f>
        <v>72</v>
      </c>
      <c r="N352" s="567" t="str">
        <f>IF(ISBLANK(N350),"",CONCATENATE($E$12,$F$12,".",$G$12,".","0",RIGHT($N$349,1),".",RIGHT(X352,1),$A$101,"-",A350))</f>
        <v>L420.19.06.C11-01</v>
      </c>
      <c r="O352" s="568"/>
      <c r="P352" s="569"/>
      <c r="Q352" s="430">
        <v>3</v>
      </c>
      <c r="R352" s="429" t="s">
        <v>6</v>
      </c>
      <c r="S352" s="431">
        <v>0</v>
      </c>
      <c r="T352" s="432">
        <v>42</v>
      </c>
      <c r="U352" s="432">
        <v>0</v>
      </c>
      <c r="V352" s="433">
        <v>0</v>
      </c>
      <c r="W352" s="363">
        <v>0</v>
      </c>
      <c r="X352" s="365" t="s">
        <v>7</v>
      </c>
      <c r="Y352" s="363">
        <f>Q352*25-S352-T352-U352-V352-W352</f>
        <v>33</v>
      </c>
      <c r="Z352" s="567" t="str">
        <f>IF(ISBLANK(Z350),"",CONCATENATE($E$12,$F$12,".",$G$12,".","0",RIGHT($Z$349,1),".",RIGHT(AJ352,1),$A$101,"-",A350))</f>
        <v/>
      </c>
      <c r="AA352" s="568"/>
      <c r="AB352" s="569"/>
      <c r="AC352" s="430"/>
      <c r="AD352" s="429"/>
      <c r="AE352" s="431"/>
      <c r="AF352" s="432"/>
      <c r="AG352" s="432"/>
      <c r="AH352" s="433"/>
      <c r="AI352" s="363"/>
      <c r="AJ352" s="365"/>
      <c r="AK352" s="363"/>
      <c r="AL352" s="567" t="str">
        <f>IF(ISBLANK(AL350),"",CONCATENATE($E$12,$F$12,".",$G$12,".","0",RIGHT($AL$349,1),".",RIGHT(AV352,1),$A$101,"-",A350))</f>
        <v>L420.19.08.C11-01</v>
      </c>
      <c r="AM352" s="568"/>
      <c r="AN352" s="569"/>
      <c r="AO352" s="430">
        <v>2</v>
      </c>
      <c r="AP352" s="429" t="s">
        <v>6</v>
      </c>
      <c r="AQ352" s="431">
        <v>0</v>
      </c>
      <c r="AR352" s="432">
        <v>0</v>
      </c>
      <c r="AS352" s="432">
        <v>28</v>
      </c>
      <c r="AT352" s="433">
        <v>0</v>
      </c>
      <c r="AU352" s="363">
        <v>0</v>
      </c>
      <c r="AV352" s="365" t="s">
        <v>7</v>
      </c>
      <c r="AW352" s="363">
        <f>AO352*25-AQ352-AR352-AS352-AT352-AU352</f>
        <v>22</v>
      </c>
    </row>
    <row r="353" spans="1:49" s="61" customFormat="1" ht="21" customHeight="1" thickTop="1" x14ac:dyDescent="0.25">
      <c r="A353" s="513" t="s">
        <v>67</v>
      </c>
      <c r="B353" s="494" t="s">
        <v>369</v>
      </c>
      <c r="C353" s="495"/>
      <c r="D353" s="495"/>
      <c r="E353" s="495"/>
      <c r="F353" s="495"/>
      <c r="G353" s="495"/>
      <c r="H353" s="495"/>
      <c r="I353" s="495"/>
      <c r="J353" s="495"/>
      <c r="K353" s="495"/>
      <c r="L353" s="495"/>
      <c r="M353" s="496"/>
      <c r="N353" s="494" t="s">
        <v>371</v>
      </c>
      <c r="O353" s="495"/>
      <c r="P353" s="495"/>
      <c r="Q353" s="495"/>
      <c r="R353" s="495"/>
      <c r="S353" s="495"/>
      <c r="T353" s="495"/>
      <c r="U353" s="495"/>
      <c r="V353" s="495"/>
      <c r="W353" s="495"/>
      <c r="X353" s="495"/>
      <c r="Y353" s="496"/>
      <c r="Z353" s="494"/>
      <c r="AA353" s="495"/>
      <c r="AB353" s="495"/>
      <c r="AC353" s="495"/>
      <c r="AD353" s="495"/>
      <c r="AE353" s="495"/>
      <c r="AF353" s="495"/>
      <c r="AG353" s="495"/>
      <c r="AH353" s="495"/>
      <c r="AI353" s="495"/>
      <c r="AJ353" s="495"/>
      <c r="AK353" s="496"/>
      <c r="AL353" s="494"/>
      <c r="AM353" s="495"/>
      <c r="AN353" s="495"/>
      <c r="AO353" s="495"/>
      <c r="AP353" s="495"/>
      <c r="AQ353" s="495"/>
      <c r="AR353" s="495"/>
      <c r="AS353" s="495"/>
      <c r="AT353" s="495"/>
      <c r="AU353" s="495"/>
      <c r="AV353" s="495"/>
      <c r="AW353" s="496"/>
    </row>
    <row r="354" spans="1:49" s="61" customFormat="1" ht="21" customHeight="1" x14ac:dyDescent="0.25">
      <c r="A354" s="514"/>
      <c r="B354" s="497"/>
      <c r="C354" s="498"/>
      <c r="D354" s="498"/>
      <c r="E354" s="498"/>
      <c r="F354" s="498"/>
      <c r="G354" s="498"/>
      <c r="H354" s="498"/>
      <c r="I354" s="498"/>
      <c r="J354" s="498"/>
      <c r="K354" s="498"/>
      <c r="L354" s="498"/>
      <c r="M354" s="499"/>
      <c r="N354" s="497"/>
      <c r="O354" s="498"/>
      <c r="P354" s="498"/>
      <c r="Q354" s="498"/>
      <c r="R354" s="498"/>
      <c r="S354" s="498"/>
      <c r="T354" s="498"/>
      <c r="U354" s="498"/>
      <c r="V354" s="498"/>
      <c r="W354" s="498"/>
      <c r="X354" s="498"/>
      <c r="Y354" s="499"/>
      <c r="Z354" s="497"/>
      <c r="AA354" s="498"/>
      <c r="AB354" s="498"/>
      <c r="AC354" s="498"/>
      <c r="AD354" s="498"/>
      <c r="AE354" s="498"/>
      <c r="AF354" s="498"/>
      <c r="AG354" s="498"/>
      <c r="AH354" s="498"/>
      <c r="AI354" s="498"/>
      <c r="AJ354" s="498"/>
      <c r="AK354" s="499"/>
      <c r="AL354" s="497"/>
      <c r="AM354" s="498"/>
      <c r="AN354" s="498"/>
      <c r="AO354" s="498"/>
      <c r="AP354" s="498"/>
      <c r="AQ354" s="498"/>
      <c r="AR354" s="498"/>
      <c r="AS354" s="498"/>
      <c r="AT354" s="498"/>
      <c r="AU354" s="498"/>
      <c r="AV354" s="498"/>
      <c r="AW354" s="499"/>
    </row>
    <row r="355" spans="1:49" s="61" customFormat="1" ht="21" customHeight="1" thickBot="1" x14ac:dyDescent="0.3">
      <c r="A355" s="515"/>
      <c r="B355" s="567" t="str">
        <f>IF(ISBLANK(B353),"",CONCATENATE($E$12,$F$12,".",$G$12,".","0",RIGHT($B$349,1),".",RIGHT(L355,1),$A$101,"-",A353))</f>
        <v>L420.19.05.C11-02</v>
      </c>
      <c r="C355" s="568"/>
      <c r="D355" s="569"/>
      <c r="E355" s="430">
        <v>3</v>
      </c>
      <c r="F355" s="429" t="s">
        <v>6</v>
      </c>
      <c r="G355" s="431">
        <v>0</v>
      </c>
      <c r="H355" s="432">
        <v>42</v>
      </c>
      <c r="I355" s="432">
        <v>0</v>
      </c>
      <c r="J355" s="433">
        <v>0</v>
      </c>
      <c r="K355" s="363">
        <v>0</v>
      </c>
      <c r="L355" s="365" t="s">
        <v>7</v>
      </c>
      <c r="M355" s="363">
        <f>E355*25-G355-H355-I355-J355-K355</f>
        <v>33</v>
      </c>
      <c r="N355" s="567" t="str">
        <f>IF(ISBLANK(N353),"",CONCATENATE($E$12,$F$12,".",$G$12,".","0",RIGHT($N$349,1),".",RIGHT(X355,1),$A$101,"-",A353))</f>
        <v>L420.19.06.C11-02</v>
      </c>
      <c r="O355" s="568"/>
      <c r="P355" s="569"/>
      <c r="Q355" s="430">
        <v>1</v>
      </c>
      <c r="R355" s="429" t="s">
        <v>5</v>
      </c>
      <c r="S355" s="431">
        <v>0</v>
      </c>
      <c r="T355" s="432">
        <v>0</v>
      </c>
      <c r="U355" s="432">
        <v>0</v>
      </c>
      <c r="V355" s="433">
        <v>14</v>
      </c>
      <c r="W355" s="363">
        <v>0</v>
      </c>
      <c r="X355" s="365" t="s">
        <v>7</v>
      </c>
      <c r="Y355" s="363">
        <f>Q355*25-S355-T355-U355-V355-W355</f>
        <v>11</v>
      </c>
      <c r="Z355" s="567" t="str">
        <f>IF(ISBLANK(Z353),"",CONCATENATE($E$12,$F$12,".",$G$12,".","0",RIGHT($Z$349,1),".",RIGHT(AJ355,1),$A$101,"-",A353))</f>
        <v/>
      </c>
      <c r="AA355" s="568"/>
      <c r="AB355" s="569"/>
      <c r="AC355" s="364"/>
      <c r="AD355" s="365"/>
      <c r="AE355" s="366"/>
      <c r="AF355" s="367"/>
      <c r="AG355" s="367"/>
      <c r="AH355" s="368"/>
      <c r="AI355" s="363"/>
      <c r="AJ355" s="365"/>
      <c r="AK355" s="363"/>
      <c r="AL355" s="567" t="str">
        <f>IF(ISBLANK(AL353),"",CONCATENATE($E$12,$F$12,".",$G$12,".","0",RIGHT($AL$349,1),".",RIGHT(AV355,1),$A$101,"-",A353))</f>
        <v/>
      </c>
      <c r="AM355" s="568"/>
      <c r="AN355" s="569"/>
      <c r="AO355" s="412"/>
      <c r="AP355" s="413"/>
      <c r="AQ355" s="414"/>
      <c r="AR355" s="415"/>
      <c r="AS355" s="415"/>
      <c r="AT355" s="416"/>
      <c r="AU355" s="417"/>
      <c r="AV355" s="413"/>
      <c r="AW355" s="417"/>
    </row>
    <row r="356" spans="1:49" s="61" customFormat="1" ht="21" customHeight="1" thickTop="1" x14ac:dyDescent="0.25">
      <c r="A356" s="513" t="s">
        <v>68</v>
      </c>
      <c r="B356" s="494"/>
      <c r="C356" s="495"/>
      <c r="D356" s="495"/>
      <c r="E356" s="495"/>
      <c r="F356" s="495"/>
      <c r="G356" s="495"/>
      <c r="H356" s="495"/>
      <c r="I356" s="495"/>
      <c r="J356" s="495"/>
      <c r="K356" s="495"/>
      <c r="L356" s="495"/>
      <c r="M356" s="496"/>
      <c r="N356" s="494" t="s">
        <v>357</v>
      </c>
      <c r="O356" s="495"/>
      <c r="P356" s="495"/>
      <c r="Q356" s="495"/>
      <c r="R356" s="495"/>
      <c r="S356" s="495"/>
      <c r="T356" s="495"/>
      <c r="U356" s="495"/>
      <c r="V356" s="495"/>
      <c r="W356" s="495"/>
      <c r="X356" s="495"/>
      <c r="Y356" s="496"/>
      <c r="Z356" s="494"/>
      <c r="AA356" s="495"/>
      <c r="AB356" s="495"/>
      <c r="AC356" s="495"/>
      <c r="AD356" s="495"/>
      <c r="AE356" s="495"/>
      <c r="AF356" s="495"/>
      <c r="AG356" s="495"/>
      <c r="AH356" s="495"/>
      <c r="AI356" s="495"/>
      <c r="AJ356" s="495"/>
      <c r="AK356" s="496"/>
      <c r="AL356" s="494"/>
      <c r="AM356" s="495"/>
      <c r="AN356" s="495"/>
      <c r="AO356" s="495"/>
      <c r="AP356" s="495"/>
      <c r="AQ356" s="495"/>
      <c r="AR356" s="495"/>
      <c r="AS356" s="495"/>
      <c r="AT356" s="495"/>
      <c r="AU356" s="495"/>
      <c r="AV356" s="495"/>
      <c r="AW356" s="496"/>
    </row>
    <row r="357" spans="1:49" s="61" customFormat="1" ht="21" customHeight="1" x14ac:dyDescent="0.25">
      <c r="A357" s="514"/>
      <c r="B357" s="497"/>
      <c r="C357" s="498"/>
      <c r="D357" s="498"/>
      <c r="E357" s="498"/>
      <c r="F357" s="498"/>
      <c r="G357" s="498"/>
      <c r="H357" s="498"/>
      <c r="I357" s="498"/>
      <c r="J357" s="498"/>
      <c r="K357" s="498"/>
      <c r="L357" s="498"/>
      <c r="M357" s="499"/>
      <c r="N357" s="497"/>
      <c r="O357" s="498"/>
      <c r="P357" s="498"/>
      <c r="Q357" s="498"/>
      <c r="R357" s="498"/>
      <c r="S357" s="498"/>
      <c r="T357" s="498"/>
      <c r="U357" s="498"/>
      <c r="V357" s="498"/>
      <c r="W357" s="498"/>
      <c r="X357" s="498"/>
      <c r="Y357" s="499"/>
      <c r="Z357" s="497"/>
      <c r="AA357" s="498"/>
      <c r="AB357" s="498"/>
      <c r="AC357" s="498"/>
      <c r="AD357" s="498"/>
      <c r="AE357" s="498"/>
      <c r="AF357" s="498"/>
      <c r="AG357" s="498"/>
      <c r="AH357" s="498"/>
      <c r="AI357" s="498"/>
      <c r="AJ357" s="498"/>
      <c r="AK357" s="499"/>
      <c r="AL357" s="497"/>
      <c r="AM357" s="498"/>
      <c r="AN357" s="498"/>
      <c r="AO357" s="498"/>
      <c r="AP357" s="498"/>
      <c r="AQ357" s="498"/>
      <c r="AR357" s="498"/>
      <c r="AS357" s="498"/>
      <c r="AT357" s="498"/>
      <c r="AU357" s="498"/>
      <c r="AV357" s="498"/>
      <c r="AW357" s="499"/>
    </row>
    <row r="358" spans="1:49" s="61" customFormat="1" ht="21" customHeight="1" thickBot="1" x14ac:dyDescent="0.3">
      <c r="A358" s="515"/>
      <c r="B358" s="567" t="str">
        <f>IF(ISBLANK(B356),"",CONCATENATE($E$12,$F$12,".",$G$12,".","0",RIGHT($B$349,1),".",RIGHT(L358,1),$A$101,"-",A356))</f>
        <v/>
      </c>
      <c r="C358" s="568"/>
      <c r="D358" s="569"/>
      <c r="E358" s="430"/>
      <c r="F358" s="429"/>
      <c r="G358" s="431"/>
      <c r="H358" s="432"/>
      <c r="I358" s="432"/>
      <c r="J358" s="433"/>
      <c r="K358" s="363"/>
      <c r="L358" s="365"/>
      <c r="M358" s="363"/>
      <c r="N358" s="567" t="str">
        <f>IF(ISBLANK(N356),"",CONCATENATE($E$12,$F$12,".",$G$12,".","0",RIGHT($N$349,1),".",RIGHT(X358,1),$A$101,"-",A356))</f>
        <v>L420.19.06.C11-03</v>
      </c>
      <c r="O358" s="568"/>
      <c r="P358" s="569"/>
      <c r="Q358" s="430">
        <v>2</v>
      </c>
      <c r="R358" s="429" t="s">
        <v>6</v>
      </c>
      <c r="S358" s="431">
        <v>0</v>
      </c>
      <c r="T358" s="432">
        <v>0</v>
      </c>
      <c r="U358" s="432">
        <v>28</v>
      </c>
      <c r="V358" s="433">
        <v>0</v>
      </c>
      <c r="W358" s="363">
        <v>0</v>
      </c>
      <c r="X358" s="365" t="s">
        <v>7</v>
      </c>
      <c r="Y358" s="363">
        <f>Q358*25-S358-T358-U358-V358-W358</f>
        <v>22</v>
      </c>
      <c r="Z358" s="567" t="str">
        <f>IF(ISBLANK(Z356),"",CONCATENATE($E$12,$F$12,".",$G$12,".","0",RIGHT($Z$349,1),".",RIGHT(AJ358,1),$A$101,"-",A356))</f>
        <v/>
      </c>
      <c r="AA358" s="568"/>
      <c r="AB358" s="569"/>
      <c r="AC358" s="412"/>
      <c r="AD358" s="413"/>
      <c r="AE358" s="414"/>
      <c r="AF358" s="415"/>
      <c r="AG358" s="415"/>
      <c r="AH358" s="416"/>
      <c r="AI358" s="417"/>
      <c r="AJ358" s="413"/>
      <c r="AK358" s="417"/>
      <c r="AL358" s="567" t="str">
        <f>IF(ISBLANK(AL356),"",CONCATENATE($E$12,$F$12,".",$G$12,".","0",RIGHT($AL$349,1),".",RIGHT(AV358,1),$A$101,"-",A356))</f>
        <v/>
      </c>
      <c r="AM358" s="568"/>
      <c r="AN358" s="569"/>
      <c r="AO358" s="412"/>
      <c r="AP358" s="413"/>
      <c r="AQ358" s="414"/>
      <c r="AR358" s="415"/>
      <c r="AS358" s="415"/>
      <c r="AT358" s="416"/>
      <c r="AU358" s="417"/>
      <c r="AV358" s="413"/>
      <c r="AW358" s="417"/>
    </row>
    <row r="359" spans="1:49" s="61" customFormat="1" ht="21" customHeight="1" thickTop="1" x14ac:dyDescent="0.25">
      <c r="A359" s="513" t="s">
        <v>69</v>
      </c>
      <c r="B359" s="494"/>
      <c r="C359" s="495"/>
      <c r="D359" s="495"/>
      <c r="E359" s="495"/>
      <c r="F359" s="495"/>
      <c r="G359" s="495"/>
      <c r="H359" s="495"/>
      <c r="I359" s="495"/>
      <c r="J359" s="495"/>
      <c r="K359" s="495"/>
      <c r="L359" s="495"/>
      <c r="M359" s="496"/>
      <c r="N359" s="494"/>
      <c r="O359" s="495"/>
      <c r="P359" s="495"/>
      <c r="Q359" s="495"/>
      <c r="R359" s="495"/>
      <c r="S359" s="495"/>
      <c r="T359" s="495"/>
      <c r="U359" s="495"/>
      <c r="V359" s="495"/>
      <c r="W359" s="495"/>
      <c r="X359" s="495"/>
      <c r="Y359" s="496"/>
      <c r="Z359" s="494"/>
      <c r="AA359" s="495"/>
      <c r="AB359" s="495"/>
      <c r="AC359" s="495"/>
      <c r="AD359" s="495"/>
      <c r="AE359" s="495"/>
      <c r="AF359" s="495"/>
      <c r="AG359" s="495"/>
      <c r="AH359" s="495"/>
      <c r="AI359" s="495"/>
      <c r="AJ359" s="495"/>
      <c r="AK359" s="496"/>
      <c r="AL359" s="494"/>
      <c r="AM359" s="495"/>
      <c r="AN359" s="495"/>
      <c r="AO359" s="495"/>
      <c r="AP359" s="495"/>
      <c r="AQ359" s="495"/>
      <c r="AR359" s="495"/>
      <c r="AS359" s="495"/>
      <c r="AT359" s="495"/>
      <c r="AU359" s="495"/>
      <c r="AV359" s="495"/>
      <c r="AW359" s="496"/>
    </row>
    <row r="360" spans="1:49" s="61" customFormat="1" ht="21" customHeight="1" x14ac:dyDescent="0.25">
      <c r="A360" s="514"/>
      <c r="B360" s="497"/>
      <c r="C360" s="498"/>
      <c r="D360" s="498"/>
      <c r="E360" s="498"/>
      <c r="F360" s="498"/>
      <c r="G360" s="498"/>
      <c r="H360" s="498"/>
      <c r="I360" s="498"/>
      <c r="J360" s="498"/>
      <c r="K360" s="498"/>
      <c r="L360" s="498"/>
      <c r="M360" s="499"/>
      <c r="N360" s="497"/>
      <c r="O360" s="498"/>
      <c r="P360" s="498"/>
      <c r="Q360" s="498"/>
      <c r="R360" s="498"/>
      <c r="S360" s="498"/>
      <c r="T360" s="498"/>
      <c r="U360" s="498"/>
      <c r="V360" s="498"/>
      <c r="W360" s="498"/>
      <c r="X360" s="498"/>
      <c r="Y360" s="499"/>
      <c r="Z360" s="497"/>
      <c r="AA360" s="498"/>
      <c r="AB360" s="498"/>
      <c r="AC360" s="498"/>
      <c r="AD360" s="498"/>
      <c r="AE360" s="498"/>
      <c r="AF360" s="498"/>
      <c r="AG360" s="498"/>
      <c r="AH360" s="498"/>
      <c r="AI360" s="498"/>
      <c r="AJ360" s="498"/>
      <c r="AK360" s="499"/>
      <c r="AL360" s="497"/>
      <c r="AM360" s="498"/>
      <c r="AN360" s="498"/>
      <c r="AO360" s="498"/>
      <c r="AP360" s="498"/>
      <c r="AQ360" s="498"/>
      <c r="AR360" s="498"/>
      <c r="AS360" s="498"/>
      <c r="AT360" s="498"/>
      <c r="AU360" s="498"/>
      <c r="AV360" s="498"/>
      <c r="AW360" s="499"/>
    </row>
    <row r="361" spans="1:49" s="88" customFormat="1" ht="21" customHeight="1" thickBot="1" x14ac:dyDescent="0.25">
      <c r="A361" s="515"/>
      <c r="B361" s="567" t="str">
        <f>IF(ISBLANK(B359),"",CONCATENATE($E$12,$F$12,".",$G$12,".","0",RIGHT($B$349,1),".",RIGHT(L361,1),$A$101,"-",A359))</f>
        <v/>
      </c>
      <c r="C361" s="568"/>
      <c r="D361" s="569"/>
      <c r="E361" s="364"/>
      <c r="F361" s="365"/>
      <c r="G361" s="366"/>
      <c r="H361" s="367"/>
      <c r="I361" s="367"/>
      <c r="J361" s="368"/>
      <c r="K361" s="363"/>
      <c r="L361" s="365"/>
      <c r="M361" s="363"/>
      <c r="N361" s="567" t="str">
        <f>IF(ISBLANK(N359),"",CONCATENATE($E$12,$F$12,".",$G$12,".","0",RIGHT($N$349,1),".",RIGHT(X361,1),$A$101,"-",A359))</f>
        <v/>
      </c>
      <c r="O361" s="568"/>
      <c r="P361" s="569"/>
      <c r="Q361" s="364"/>
      <c r="R361" s="365"/>
      <c r="S361" s="366"/>
      <c r="T361" s="367"/>
      <c r="U361" s="367"/>
      <c r="V361" s="368"/>
      <c r="W361" s="363"/>
      <c r="X361" s="365"/>
      <c r="Y361" s="363"/>
      <c r="Z361" s="567" t="str">
        <f>IF(ISBLANK(Z359),"",CONCATENATE($E$12,$F$12,".",$G$12,".","0",RIGHT($Z$349,1),".",RIGHT(AJ361,1),$A$101,"-",A359))</f>
        <v/>
      </c>
      <c r="AA361" s="568"/>
      <c r="AB361" s="569"/>
      <c r="AC361" s="412"/>
      <c r="AD361" s="413"/>
      <c r="AE361" s="414"/>
      <c r="AF361" s="415"/>
      <c r="AG361" s="415"/>
      <c r="AH361" s="416"/>
      <c r="AI361" s="417"/>
      <c r="AJ361" s="413"/>
      <c r="AK361" s="417"/>
      <c r="AL361" s="567" t="str">
        <f>IF(ISBLANK(AL359),"",CONCATENATE($E$12,$F$12,".",$G$12,".","0",RIGHT($AL$349,1),".",RIGHT(AV361,1),$A$101,"-",A359))</f>
        <v/>
      </c>
      <c r="AM361" s="568"/>
      <c r="AN361" s="569"/>
      <c r="AO361" s="412"/>
      <c r="AP361" s="413"/>
      <c r="AQ361" s="414"/>
      <c r="AR361" s="415"/>
      <c r="AS361" s="415"/>
      <c r="AT361" s="416"/>
      <c r="AU361" s="417"/>
      <c r="AV361" s="413"/>
      <c r="AW361" s="417"/>
    </row>
    <row r="362" spans="1:49" s="88" customFormat="1" ht="21" customHeight="1" thickTop="1" x14ac:dyDescent="0.2">
      <c r="A362" s="527" t="s">
        <v>8</v>
      </c>
      <c r="B362" s="474" t="s">
        <v>9</v>
      </c>
      <c r="C362" s="475"/>
      <c r="D362" s="63"/>
      <c r="E362" s="471">
        <f>SUM(G352:J352,G355:J355,G358:J358,G361:J361,)</f>
        <v>70</v>
      </c>
      <c r="F362" s="472"/>
      <c r="G362" s="480" t="s">
        <v>10</v>
      </c>
      <c r="H362" s="481"/>
      <c r="I362" s="481"/>
      <c r="J362" s="482"/>
      <c r="K362" s="470">
        <f>SUM(M352,M355,M358,M361)</f>
        <v>105</v>
      </c>
      <c r="L362" s="471"/>
      <c r="M362" s="472"/>
      <c r="N362" s="474" t="s">
        <v>9</v>
      </c>
      <c r="O362" s="475"/>
      <c r="P362" s="63"/>
      <c r="Q362" s="471">
        <f>SUM(S352:V352,S355:V355,S358:V358,S361:V361,)</f>
        <v>84</v>
      </c>
      <c r="R362" s="472"/>
      <c r="S362" s="480" t="s">
        <v>10</v>
      </c>
      <c r="T362" s="481"/>
      <c r="U362" s="481"/>
      <c r="V362" s="482"/>
      <c r="W362" s="470">
        <f>SUM(Y352,Y355,Y358,Y361)</f>
        <v>66</v>
      </c>
      <c r="X362" s="471"/>
      <c r="Y362" s="472"/>
      <c r="Z362" s="474" t="s">
        <v>9</v>
      </c>
      <c r="AA362" s="475"/>
      <c r="AB362" s="63"/>
      <c r="AC362" s="471">
        <f>SUM(AE352:AH352,AE355:AH355,AE358:AH358,AE361:AH361,)</f>
        <v>0</v>
      </c>
      <c r="AD362" s="472"/>
      <c r="AE362" s="480" t="s">
        <v>10</v>
      </c>
      <c r="AF362" s="481"/>
      <c r="AG362" s="481"/>
      <c r="AH362" s="482"/>
      <c r="AI362" s="470">
        <f>SUM(AK352,AK355,AK358,AK361)</f>
        <v>0</v>
      </c>
      <c r="AJ362" s="471"/>
      <c r="AK362" s="472"/>
      <c r="AL362" s="474" t="s">
        <v>9</v>
      </c>
      <c r="AM362" s="475"/>
      <c r="AN362" s="63"/>
      <c r="AO362" s="471">
        <f>SUM(AQ352:AT352,AQ355:AT355,AQ358:AT358,AQ361:AT361,)</f>
        <v>28</v>
      </c>
      <c r="AP362" s="472"/>
      <c r="AQ362" s="480" t="s">
        <v>10</v>
      </c>
      <c r="AR362" s="481"/>
      <c r="AS362" s="481"/>
      <c r="AT362" s="482"/>
      <c r="AU362" s="470">
        <f>SUM(AW352,AW355,AW358,AW361)</f>
        <v>22</v>
      </c>
      <c r="AV362" s="471"/>
      <c r="AW362" s="472"/>
    </row>
    <row r="363" spans="1:49" s="88" customFormat="1" ht="21" customHeight="1" thickBot="1" x14ac:dyDescent="0.25">
      <c r="A363" s="528"/>
      <c r="B363" s="473" t="s">
        <v>11</v>
      </c>
      <c r="C363" s="466"/>
      <c r="D363" s="66"/>
      <c r="E363" s="478">
        <f>SUM(E352,E355,E358,E361)</f>
        <v>7</v>
      </c>
      <c r="F363" s="479"/>
      <c r="G363" s="473" t="s">
        <v>12</v>
      </c>
      <c r="H363" s="466"/>
      <c r="I363" s="466"/>
      <c r="J363" s="467"/>
      <c r="K363" s="473" t="str">
        <f>BD396</f>
        <v>0E,0D,2C</v>
      </c>
      <c r="L363" s="466"/>
      <c r="M363" s="467"/>
      <c r="N363" s="473" t="s">
        <v>11</v>
      </c>
      <c r="O363" s="466"/>
      <c r="P363" s="66"/>
      <c r="Q363" s="478">
        <f>SUM(Q352,Q355,Q358,Q361)</f>
        <v>6</v>
      </c>
      <c r="R363" s="479"/>
      <c r="S363" s="473" t="s">
        <v>12</v>
      </c>
      <c r="T363" s="466"/>
      <c r="U363" s="466"/>
      <c r="V363" s="467"/>
      <c r="W363" s="473" t="str">
        <f>BD397</f>
        <v>1E,0D,2C</v>
      </c>
      <c r="X363" s="466"/>
      <c r="Y363" s="467"/>
      <c r="Z363" s="473" t="s">
        <v>11</v>
      </c>
      <c r="AA363" s="466"/>
      <c r="AB363" s="66"/>
      <c r="AC363" s="478">
        <f>SUM(AC352,AC355,AC358,AC361)</f>
        <v>0</v>
      </c>
      <c r="AD363" s="479"/>
      <c r="AE363" s="473" t="s">
        <v>12</v>
      </c>
      <c r="AF363" s="466"/>
      <c r="AG363" s="466"/>
      <c r="AH363" s="467"/>
      <c r="AI363" s="473" t="str">
        <f>BD398</f>
        <v>0E,0D,0C</v>
      </c>
      <c r="AJ363" s="466"/>
      <c r="AK363" s="467"/>
      <c r="AL363" s="473" t="s">
        <v>11</v>
      </c>
      <c r="AM363" s="466"/>
      <c r="AN363" s="66"/>
      <c r="AO363" s="478">
        <f>SUM(AO352,AO355,AO358,AO361)</f>
        <v>2</v>
      </c>
      <c r="AP363" s="479"/>
      <c r="AQ363" s="473" t="s">
        <v>12</v>
      </c>
      <c r="AR363" s="466"/>
      <c r="AS363" s="466"/>
      <c r="AT363" s="467"/>
      <c r="AU363" s="473" t="str">
        <f>BD399</f>
        <v>0E,0D,1C</v>
      </c>
      <c r="AV363" s="466"/>
      <c r="AW363" s="467"/>
    </row>
    <row r="364" spans="1:49" s="88" customFormat="1" ht="21" customHeight="1" thickTop="1" x14ac:dyDescent="0.2">
      <c r="A364" s="527" t="s">
        <v>13</v>
      </c>
      <c r="B364" s="474" t="s">
        <v>9</v>
      </c>
      <c r="C364" s="475"/>
      <c r="D364" s="67"/>
      <c r="E364" s="476">
        <f>SUM(G365:J365)</f>
        <v>5</v>
      </c>
      <c r="F364" s="477"/>
      <c r="G364" s="68"/>
      <c r="H364" s="64"/>
      <c r="I364" s="64"/>
      <c r="J364" s="64"/>
      <c r="K364" s="313"/>
      <c r="L364" s="64"/>
      <c r="M364" s="73"/>
      <c r="N364" s="474" t="s">
        <v>9</v>
      </c>
      <c r="O364" s="475"/>
      <c r="P364" s="67"/>
      <c r="Q364" s="476">
        <f>SUM(S365:V365)</f>
        <v>6</v>
      </c>
      <c r="R364" s="477"/>
      <c r="S364" s="68"/>
      <c r="T364" s="64"/>
      <c r="U364" s="64"/>
      <c r="V364" s="64"/>
      <c r="W364" s="313"/>
      <c r="X364" s="64"/>
      <c r="Y364" s="73"/>
      <c r="Z364" s="474" t="s">
        <v>9</v>
      </c>
      <c r="AA364" s="475"/>
      <c r="AB364" s="67"/>
      <c r="AC364" s="476">
        <f>SUM(AE365:AH365)</f>
        <v>0</v>
      </c>
      <c r="AD364" s="477"/>
      <c r="AE364" s="68"/>
      <c r="AF364" s="64"/>
      <c r="AG364" s="64"/>
      <c r="AH364" s="64"/>
      <c r="AI364" s="313"/>
      <c r="AJ364" s="64"/>
      <c r="AK364" s="73"/>
      <c r="AL364" s="474" t="s">
        <v>9</v>
      </c>
      <c r="AM364" s="475"/>
      <c r="AN364" s="67"/>
      <c r="AO364" s="476">
        <f>SUM(AQ365:AT365)</f>
        <v>2</v>
      </c>
      <c r="AP364" s="477"/>
      <c r="AQ364" s="68"/>
      <c r="AR364" s="64"/>
      <c r="AS364" s="64"/>
      <c r="AT364" s="64"/>
      <c r="AU364" s="313"/>
      <c r="AV364" s="64"/>
      <c r="AW364" s="73"/>
    </row>
    <row r="365" spans="1:49" s="78" customFormat="1" ht="21" customHeight="1" thickBot="1" x14ac:dyDescent="0.25">
      <c r="A365" s="528"/>
      <c r="B365" s="473" t="s">
        <v>14</v>
      </c>
      <c r="C365" s="466"/>
      <c r="D365" s="65"/>
      <c r="E365" s="65"/>
      <c r="F365" s="69"/>
      <c r="G365" s="211">
        <f>(G352+G355+G358+G361)/14</f>
        <v>0</v>
      </c>
      <c r="H365" s="211">
        <f>(H352+H355+H358+H361)/14</f>
        <v>5</v>
      </c>
      <c r="I365" s="211">
        <f>(I352+I355+I358+I361)/14</f>
        <v>0</v>
      </c>
      <c r="J365" s="211">
        <f>(J352+J355+J358+J361)/14</f>
        <v>0</v>
      </c>
      <c r="K365" s="465" t="s">
        <v>15</v>
      </c>
      <c r="L365" s="466"/>
      <c r="M365" s="467"/>
      <c r="N365" s="473" t="s">
        <v>14</v>
      </c>
      <c r="O365" s="466"/>
      <c r="P365" s="65"/>
      <c r="Q365" s="65"/>
      <c r="R365" s="69"/>
      <c r="S365" s="211">
        <f>(S352+S355+S358+S361)/14</f>
        <v>0</v>
      </c>
      <c r="T365" s="211">
        <f>(T352+T355+T358+T361)/14</f>
        <v>3</v>
      </c>
      <c r="U365" s="211">
        <f>(U352+U355+U358+U361)/14</f>
        <v>2</v>
      </c>
      <c r="V365" s="211">
        <f>(V352+V355+V358+V361)/14</f>
        <v>1</v>
      </c>
      <c r="W365" s="465" t="s">
        <v>15</v>
      </c>
      <c r="X365" s="466"/>
      <c r="Y365" s="467"/>
      <c r="Z365" s="473" t="s">
        <v>14</v>
      </c>
      <c r="AA365" s="466"/>
      <c r="AB365" s="65"/>
      <c r="AC365" s="65"/>
      <c r="AD365" s="69"/>
      <c r="AE365" s="211">
        <f>(AE352+AE355+AE358+AE361)/14</f>
        <v>0</v>
      </c>
      <c r="AF365" s="211">
        <f>(AF352+AF355+AF358+AF361)/14</f>
        <v>0</v>
      </c>
      <c r="AG365" s="211">
        <f>(AG352+AG355+AG358+AG361)/14</f>
        <v>0</v>
      </c>
      <c r="AH365" s="211">
        <f>(AH352+AH355+AH358+AH361)/14</f>
        <v>0</v>
      </c>
      <c r="AI365" s="465" t="s">
        <v>15</v>
      </c>
      <c r="AJ365" s="466"/>
      <c r="AK365" s="467"/>
      <c r="AL365" s="473" t="s">
        <v>14</v>
      </c>
      <c r="AM365" s="466"/>
      <c r="AN365" s="65"/>
      <c r="AO365" s="65"/>
      <c r="AP365" s="69"/>
      <c r="AQ365" s="211">
        <f>(AQ352+AQ355+AQ358+AQ361)/14</f>
        <v>0</v>
      </c>
      <c r="AR365" s="211">
        <f>(AR352+AR355+AR358+AR361)/14</f>
        <v>0</v>
      </c>
      <c r="AS365" s="211">
        <f>(AS352+AS355+AS358+AS361)/14</f>
        <v>2</v>
      </c>
      <c r="AT365" s="211">
        <f>(AT352+AT355+AT358+AT361)/14</f>
        <v>0</v>
      </c>
      <c r="AU365" s="465" t="s">
        <v>15</v>
      </c>
      <c r="AV365" s="466"/>
      <c r="AW365" s="467"/>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4" t="s">
        <v>270</v>
      </c>
      <c r="B367" s="464"/>
      <c r="C367" s="464"/>
      <c r="D367" s="464"/>
      <c r="E367" s="464"/>
      <c r="F367" s="464"/>
      <c r="G367" s="464"/>
      <c r="H367" s="464"/>
      <c r="I367" s="464"/>
      <c r="J367" s="464"/>
      <c r="K367" s="464"/>
      <c r="L367" s="464"/>
      <c r="M367" s="464"/>
      <c r="N367" s="464"/>
      <c r="O367" s="464"/>
      <c r="P367" s="464"/>
      <c r="Q367" s="464"/>
      <c r="R367" s="464"/>
      <c r="S367" s="464"/>
      <c r="T367" s="464"/>
      <c r="U367" s="464"/>
      <c r="V367" s="464"/>
      <c r="W367" s="464"/>
      <c r="X367" s="464"/>
      <c r="Y367" s="464"/>
      <c r="Z367" s="464"/>
      <c r="AA367" s="464"/>
      <c r="AB367" s="464"/>
      <c r="AC367" s="464"/>
      <c r="AD367" s="464"/>
      <c r="AE367" s="464"/>
      <c r="AF367" s="464"/>
      <c r="AG367" s="464"/>
      <c r="AH367" s="464"/>
      <c r="AI367" s="464"/>
      <c r="AJ367" s="464"/>
      <c r="AK367" s="464"/>
      <c r="AL367" s="464"/>
      <c r="AM367" s="464"/>
      <c r="AN367" s="464"/>
      <c r="AO367" s="464"/>
      <c r="AP367" s="464"/>
      <c r="AQ367" s="464"/>
      <c r="AR367" s="464"/>
      <c r="AS367" s="464"/>
      <c r="AT367" s="464"/>
      <c r="AU367" s="464"/>
      <c r="AV367" s="464"/>
      <c r="AW367" s="464"/>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8" t="s">
        <v>39</v>
      </c>
      <c r="C369" s="468"/>
      <c r="D369" s="468"/>
      <c r="E369" s="468"/>
      <c r="F369" s="468"/>
      <c r="G369" s="468"/>
      <c r="H369" s="468"/>
      <c r="I369" s="468"/>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8" t="s">
        <v>42</v>
      </c>
      <c r="AO369" s="468"/>
      <c r="AP369" s="468"/>
      <c r="AQ369" s="468"/>
      <c r="AR369" s="468"/>
      <c r="AS369" s="468"/>
      <c r="AT369" s="468"/>
      <c r="AU369" s="468"/>
      <c r="AV369" s="48"/>
      <c r="AW369" s="48"/>
    </row>
    <row r="370" spans="1:98" s="59" customFormat="1" ht="21" customHeight="1" x14ac:dyDescent="0.2">
      <c r="B370" s="469" t="str">
        <f>Coperta!B$46</f>
        <v>Conf.univ.dr.ing. Florin DRĂGAN</v>
      </c>
      <c r="C370" s="469"/>
      <c r="D370" s="469"/>
      <c r="E370" s="469"/>
      <c r="F370" s="469"/>
      <c r="G370" s="469"/>
      <c r="H370" s="469"/>
      <c r="I370" s="469"/>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9" t="str">
        <f>Coperta!N$46</f>
        <v>Conf.univ.dr.ing. Virgil STOICA</v>
      </c>
      <c r="AO370" s="469"/>
      <c r="AP370" s="469"/>
      <c r="AQ370" s="469"/>
      <c r="AR370" s="469"/>
      <c r="AS370" s="469"/>
      <c r="AT370" s="469"/>
      <c r="AU370" s="469"/>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0" t="s">
        <v>156</v>
      </c>
      <c r="B378" s="570"/>
      <c r="C378" s="570"/>
      <c r="AZ378" s="50"/>
      <c r="BA378" s="571"/>
      <c r="BB378" s="571"/>
      <c r="BC378" s="571"/>
      <c r="BD378" s="571"/>
      <c r="BE378" s="50"/>
      <c r="BF378" s="500" t="s">
        <v>165</v>
      </c>
      <c r="BG378" s="500"/>
      <c r="BH378" s="500"/>
      <c r="BI378" s="51"/>
      <c r="BJ378" s="51"/>
      <c r="BK378" s="51"/>
      <c r="BL378" s="500" t="s">
        <v>166</v>
      </c>
      <c r="BM378" s="500"/>
      <c r="BN378" s="500"/>
      <c r="BO378" s="500"/>
      <c r="BP378" s="500"/>
      <c r="BQ378" s="500"/>
      <c r="BR378" s="500"/>
      <c r="BS378" s="500"/>
      <c r="BT378" s="50"/>
      <c r="BU378" s="51"/>
      <c r="BV378" s="500" t="s">
        <v>167</v>
      </c>
      <c r="BW378" s="500"/>
      <c r="BX378" s="500"/>
      <c r="BY378" s="500"/>
      <c r="BZ378" s="500"/>
      <c r="CA378" s="500"/>
      <c r="CB378" s="500"/>
      <c r="CC378" s="500"/>
      <c r="CD378" s="500"/>
      <c r="CE378" s="500"/>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0" t="s">
        <v>161</v>
      </c>
      <c r="AZ379" s="500"/>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210</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210</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28</v>
      </c>
      <c r="CA380" s="50"/>
      <c r="CB380" s="123">
        <f>($G$21+$H$21+$I$21+$J$21)*COUNTIF($L$21,"DF")+($G$24+$H$24+$I$24+$J$24)*COUNTIF($L$24,"DF")+($G$27+$H$27+$I$27+$J$27)*COUNTIF($L$27,"DF")+($G$30+$H$30+$I$30+$J$30)*COUNTIF($L$30,"DF")+($G$33+$H$33+$I$33+$J$33)*COUNTIF($L$33,"DF")+($G$36+$H$36+$I$36+$J$36)*COUNTIF($L$36,"DF")+($G$39+$H$39+$I$39+$J$39)*COUNTIF($L$39,"DF")+($G$42+$H$42+$I$42+$J$42)*COUNTIF($L$42,"DF")+($G$45+$H$45+$I$45+$J$45)*COUNTIF($L$45,"DF")+($G$48+$H$48+$I$48+$J$48)*COUNTIF($L$48,"DF")</f>
        <v>133</v>
      </c>
      <c r="CC380" s="123">
        <f>($G$21+$H$21+$I$21+$J$21)*COUNTIF($L$21,"DD")+($G$24+$H$24+$I$24+$J$24)*COUNTIF($L$24,"DD")+($G$27+$H$27+$I$27+$J$27)*COUNTIF($L$27,"DD")+($G$30+$H$30+$I$30+$J$30)*COUNTIF($L$30,"DD")+($G$33+$H$33+$I$33+$J$33)*COUNTIF($L$33,"DD")+($G$36+$H$36+$I$36+$J$36)*COUNTIF($L$36,"DD")+($G$39+$H$39+$I$39+$J$39)*COUNTIF($L$39,"DD")+($G$42+$H$42+$I$42+$J$42)*COUNTIF($L$42,"DD")+($G$45+$H$45+$I$45+$J$45)*COUNTIF($L$45,"DD")+($G$48+$H$48+$I$48+$J$48)*COUNTIF($L$48,"DD")</f>
        <v>35</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203</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203</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63</v>
      </c>
      <c r="CC381" s="123">
        <f>($S$21+$T$21+$U$21+$V$21)*COUNTIF($X$21,"DD")+($S$24+$T$24+$U$24+$V$24)*COUNTIF($X$24,"DD")+($S$27+$T$27+$U$27+$V$27)*COUNTIF($X$27,"DD")+($S$30+$T$30+$U$30+$V$30)*COUNTIF($X$30,"DD")+($S$33+$T$33+$U$33+$V$33)*COUNTIF($X$33,"DD")+($S$36+$T$36+$U$36+$V$36)*COUNTIF($X$36,"DD")+($S$39+$T$39+$U$39+$V$39)*COUNTIF($X$39,"DD")+($S$42+$T$42+$U$42+$V$42)*COUNTIF($X$42,"DD")+($S$45+$T$45+$U$45+$V$45)*COUNTIF($X$45,"DD")+($S$48+$T$48+$U$48+$V$48)*COUNTIF($X$48,"DD")</f>
        <v>84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56</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196</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196</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28</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84</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98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182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182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56</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140</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42</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23</v>
      </c>
      <c r="BN384" s="123">
        <f>$E$73*COUNTIF($B$71,"*op?ional*")+$E$76*COUNTIF($B$74,"*op?ional*")+$E$79*COUNTIF($B$77,"*op?ional*")+$E$82*COUNTIF($B$80,"*op?ional*")+$E$85*COUNTIF($B$83,"*op?ional*")+$E$88*COUNTIF($B$86,"*op?ional*")+$E$91*COUNTIF($B$89,"*op?ional*")+$E$94*COUNTIF($B$92,"*op?ional*")+$E$97*COUNTIF($B$95,"*op?ional*")+$E$100*COUNTIF($B$98,"*op?ional*")</f>
        <v>7</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168</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126</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42</v>
      </c>
      <c r="BZ384" s="129">
        <f>E362</f>
        <v>70</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70</v>
      </c>
      <c r="CD384" s="123">
        <f>($G$73+$H$73+$I$73+$J$73)*COUNTIF($L$73,"DS")+($G$76+$H$76+$I$76+$J$76)*COUNTIF($L$76,"DS")+($G$79+$H$79+$I$79+$J$79)*COUNTIF($L$79,"DS")+($G$82+$H$82+$I$82+$J$82)*COUNTIF($L$82,"DS")+($G$85+$H$85+$I$85+$J$85)*COUNTIF($L$85,"DS")+($G$88+$H$88+$I$88+$J$88)*COUNTIF($L$88,"DS")+($G$91+$H$91+$I$91+$J$91)*COUNTIF($L$91,"DS")+($G$94+$H$94+$I$94+$J$94)*COUNTIF($L$94,"DS")+($G$100+$H$100+$I$100+$J$100)*COUNTIF($L$100,"DS")+($G$97+$H$97+$I$97+$J$97)*COUNTIF($L$97,"DS")</f>
        <v>84</v>
      </c>
      <c r="CE384" s="123">
        <f>($G$73+$H$73+$I$73+$J$73)*COUNTIF($L$73,"DC")+($G$76+$H$76+$I$76+$J$76)*COUNTIF($L$76,"DC")+($G$79+$H$79+$I$79+$J$79)*COUNTIF($L$79,"DC")+($G$82+$H$82+$I$82+$J$82)*COUNTIF($L$82,"DC")+($G$85+$H$85+$I$85+$J$85)*COUNTIF($L$85,"DC")+($G$88+$H$88+$I$88+$J$88)*COUNTIF($L$88,"DC")+($G$91+$H$91+$I$91+$J$91)*COUNTIF($L$91,"DC")+($G$94+$H$94+$I$94+$J$94)*COUNTIF($L$94,"DC")+($G$100+$H$100+$I$100+$J$100)*COUNTIF($L$100,"DC")+($G$97+$H$97+$I$97+$J$97)*COUNTIF($L$97,"DC")</f>
        <v>14</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15</v>
      </c>
      <c r="BN385" s="123">
        <f>$Q$73*COUNTIF($N$71,"*op?ional*")+$Q$76*COUNTIF($N$74,"*op?ional*")+$Q$79*COUNTIF($N$77,"*op?ional*")+$Q$82*COUNTIF($N$80,"*op?ional*")+$Q$85*COUNTIF($N$83,"*op?ional*")+$Q$88*COUNTIF($N$86,"*op?ional*")+$Q$91*COUNTIF($N$89,"*op?ional*")+$Q$94*COUNTIF($N$92,"*op?ional*")+$Q$97*COUNTIF($N$95,"*op?ional*")+$Q$100*COUNTIF($N$98,"*op?ional*")</f>
        <v>15</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182</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70</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9">
        <f>Q362</f>
        <v>84</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112</v>
      </c>
      <c r="CD385" s="123">
        <f>($S$73+$T$73+$U$73+$V$73)*COUNTIF($X$73,"DS")+($S$76+$T$76+$U$76+$V$76)*COUNTIF($X$76,"DS")+($S$79+$T$79+$U$79+$V$79)*COUNTIF($X$79,"DS")+($S$82+$T$82+$U$82+$V$82)*COUNTIF($X$82,"DS")+($S$85+$T$85+$U$85+$V$85)*COUNTIF($X$85,"DS")+($S$88+$T$88+$U$88+$V$88)*COUNTIF($X$88,"DS")+($S$91+$T$91+$U$91+$V$91)*COUNTIF($X$91,"DS")+($S$94+$T$94+$U$94+$V$94)*COUNTIF($X$94,"DS")+($S$100+$T$100+$U$100+$V$100)*COUNTIF($X$100,"DS")+($S$97+$T$97+$U$97+$V$97)*COUNTIF($X$97,"DS")</f>
        <v>56</v>
      </c>
      <c r="CE385" s="123">
        <f>($S$73+$T$73+$U$73+$V$73)*COUNTIF($X$73,"DC")+($S$76+$T$76+$U$76+$V$76)*COUNTIF($X$76,"DC")+($S$79+$T$79+$U$79+$V$79)*COUNTIF($X$79,"DC")+($S$82+$T$82+$U$82+$V$82)*COUNTIF($X$82,"DC")+($S$85+$T$85+$U$85+$V$85)*COUNTIF($X$85,"DC")+($S$88+$T$88+$U$88+$V$88)*COUNTIF($X$88,"DC")+($S$91+$T$91+$U$91+$V$91)*COUNTIF($X$91,"DC")+($S$94+$T$94+$U$94+$V$94)*COUNTIF($X$94,"DC")+($S$100+$T$100+$U$100+$V$100)*COUNTIF($X$100,"DC")+($S$97+$T$97+$U$97+$V$97)*COUNTIF($X$97,"DC")</f>
        <v>14</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182</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14</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168</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112</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14</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1</v>
      </c>
      <c r="BC387" s="123">
        <f>COUNTIF($AP$73,"C")+COUNTIF($AP$76,"C")+COUNTIF($AP$79,"C")+COUNTIF($AP$82,"C")+COUNTIF($AP$85,"C")+COUNTIF($AP$88,"C")+COUNTIF($AP$91,"C")+COUNTIF($AP$94,"C")+COUNTIF($AP$97,"C")+COUNTIF($AP$100,"C")</f>
        <v>0</v>
      </c>
      <c r="BD387" s="123" t="str">
        <f t="shared" si="1"/>
        <v>5E,1D,0C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15</v>
      </c>
      <c r="BN387" s="123">
        <f>$AO$73*COUNTIF($AL$71,"*op?ional*")+$AO$76*COUNTIF($AL$74,"*op?ional*")+$AO$79*COUNTIF($AL$77,"*op?ional*")+$AO$82*COUNTIF($AL$80,"*op?ional*")+$AO$85*COUNTIF($AL$83,"*op?ional*")+$AO$88*COUNTIF($AL$86,"*op?ional*")+$AO$91*COUNTIF($AL$89,"*op?ional*")+$AO$94*COUNTIF($AL$92,"*op?ional*")+$AO$97*COUNTIF($AL$95,"*op?ional*")+$AO$100*COUNTIF($AL$98,"*op?ional*")</f>
        <v>15</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266</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182</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84</v>
      </c>
      <c r="BZ387" s="129">
        <f>AO362</f>
        <v>28</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266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4" t="s">
        <v>300</v>
      </c>
      <c r="AZ388" s="50" t="s">
        <v>157</v>
      </c>
      <c r="BA388" s="50">
        <f>SUM(BA380:BA387)</f>
        <v>33</v>
      </c>
      <c r="BB388" s="50">
        <f>SUM(BB380:BB387)</f>
        <v>22</v>
      </c>
      <c r="BC388" s="50">
        <f>SUM(BC380:BC387)</f>
        <v>7</v>
      </c>
      <c r="BD388" s="50"/>
      <c r="BE388" s="50"/>
      <c r="BF388" s="50"/>
      <c r="BG388" s="50"/>
      <c r="BH388" s="50"/>
      <c r="BI388" s="51"/>
      <c r="BJ388" s="51"/>
      <c r="BK388" s="51"/>
      <c r="BL388" s="50">
        <f>SUM(BL380:BL387)</f>
        <v>240</v>
      </c>
      <c r="BM388" s="50">
        <f t="shared" ref="BM388:BS388" si="3">SUM(BM380:BM387)</f>
        <v>175</v>
      </c>
      <c r="BN388" s="50">
        <f t="shared" si="3"/>
        <v>65</v>
      </c>
      <c r="BO388" s="50">
        <f t="shared" si="3"/>
        <v>0</v>
      </c>
      <c r="BP388" s="50">
        <f t="shared" si="3"/>
        <v>8</v>
      </c>
      <c r="BQ388" s="50">
        <f t="shared" si="3"/>
        <v>5</v>
      </c>
      <c r="BR388" s="50">
        <f t="shared" si="3"/>
        <v>10</v>
      </c>
      <c r="BS388" s="50">
        <f t="shared" si="3"/>
        <v>7</v>
      </c>
      <c r="BT388" s="50"/>
      <c r="BU388" s="51"/>
      <c r="BV388" s="50">
        <f>SUM(BV380:BV387)</f>
        <v>1589</v>
      </c>
      <c r="BW388" s="50">
        <f>SUM(BW380:BW387)</f>
        <v>0</v>
      </c>
      <c r="BX388" s="50">
        <f>SUM(BX380:BX387)</f>
        <v>1183</v>
      </c>
      <c r="BY388" s="50">
        <f>SUM(BY380:BY387)</f>
        <v>406</v>
      </c>
      <c r="BZ388" s="50">
        <f>SUM(BZ380:BZ387)</f>
        <v>350</v>
      </c>
      <c r="CA388" s="50"/>
      <c r="CB388" s="50">
        <f>SUM(CB380:CB387)</f>
        <v>280</v>
      </c>
      <c r="CC388" s="50">
        <f>SUM(CC380:CC387)</f>
        <v>595</v>
      </c>
      <c r="CD388" s="50">
        <f>SUM(CD380:CD387)</f>
        <v>518</v>
      </c>
      <c r="CE388" s="50">
        <f>SUM(CE380:CE387)</f>
        <v>196</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4"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4"/>
      <c r="AY391" s="500" t="s">
        <v>161</v>
      </c>
      <c r="AZ391" s="500"/>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0</v>
      </c>
      <c r="BD395" s="123" t="str">
        <f t="shared" si="4"/>
        <v>2E,0D,0C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2</v>
      </c>
      <c r="BD396" s="123" t="str">
        <f t="shared" si="4"/>
        <v>0E,0D,2C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1</v>
      </c>
      <c r="BB397" s="123">
        <f>COUNTIF($R$352,"D")+COUNTIF($R$355,"D")+COUNTIF($R$358,"D")+COUNTIF($R$361,"D")+COUNTIF($R$352,"P-D")+COUNTIF($R$355,"P-D")+COUNTIF($R$358,"P-D")+COUNTIF($R$361,"P-D")</f>
        <v>0</v>
      </c>
      <c r="BC397" s="123">
        <f>COUNTIF($R$352,"C")+COUNTIF($R$355,"C")+COUNTIF($R$358,"C")+COUNTIF($R$361,"C")</f>
        <v>2</v>
      </c>
      <c r="BD397" s="123"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1</v>
      </c>
      <c r="BD399" s="123" t="str">
        <f t="shared" si="4"/>
        <v>0E,0D,1C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0</v>
      </c>
      <c r="BC400" s="50">
        <f>SUM(BC392:BC399)</f>
        <v>6</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93" t="s">
        <v>273</v>
      </c>
      <c r="BA403" s="493"/>
      <c r="BB403" s="493"/>
      <c r="BC403" s="493"/>
      <c r="BD403" s="493"/>
      <c r="BE403" s="493" t="s">
        <v>274</v>
      </c>
      <c r="BF403" s="493"/>
      <c r="BG403" s="493"/>
      <c r="BH403" s="493"/>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3">
        <f t="shared" si="5"/>
        <v>0</v>
      </c>
      <c r="BM413" s="283">
        <f t="shared" si="6"/>
        <v>0</v>
      </c>
      <c r="BN413" s="283">
        <f t="shared" si="7"/>
        <v>0</v>
      </c>
      <c r="BO413" s="283">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93" t="s">
        <v>273</v>
      </c>
      <c r="BA416" s="493"/>
      <c r="BB416" s="493"/>
      <c r="BC416" s="493"/>
      <c r="BD416" s="493"/>
      <c r="BE416" s="493" t="s">
        <v>274</v>
      </c>
      <c r="BF416" s="493"/>
      <c r="BG416" s="493"/>
      <c r="BH416" s="493"/>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3">
        <f t="shared" si="9"/>
        <v>100</v>
      </c>
      <c r="BM425" s="283">
        <f t="shared" si="10"/>
        <v>100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Tehnologia Constructiilor de Masini</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19" t="s">
        <v>217</v>
      </c>
      <c r="AY443" s="520"/>
      <c r="AZ443" s="520"/>
      <c r="BA443" s="520"/>
      <c r="BB443" s="520"/>
      <c r="BC443" s="520"/>
      <c r="BD443" s="520"/>
      <c r="BE443" s="520"/>
      <c r="BF443" s="520"/>
      <c r="BG443" s="520"/>
      <c r="BH443" s="520"/>
      <c r="BI443" s="520"/>
      <c r="BJ443" s="520"/>
      <c r="BK443" s="520"/>
      <c r="BL443" s="520"/>
      <c r="BM443" s="520"/>
      <c r="BN443" s="520"/>
      <c r="BO443" s="520"/>
      <c r="BP443" s="520"/>
      <c r="BQ443" s="520"/>
      <c r="BR443" s="520"/>
      <c r="BS443" s="520"/>
      <c r="BT443" s="520"/>
      <c r="BU443" s="520"/>
      <c r="BV443" s="521"/>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304</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L420.19.01.F1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0</v>
      </c>
      <c r="BF445" s="126">
        <f>IF($AZ445&lt;&gt;"",ROUND(BI445/14,1),"")</f>
        <v>2</v>
      </c>
      <c r="BG445" s="126">
        <f>IF($AZ445&lt;&gt;"",BE445+BF445,"")</f>
        <v>2</v>
      </c>
      <c r="BH445" s="127">
        <f>IF(COUNTIFS($B$19,"&lt;&gt;"&amp;"",$B$19,"&lt;&gt;practic?*",$B$19,"&lt;&gt;*Elaborare proiect de diplom?*",$B$19,"&lt;&gt;*op?ional*",$B$19,"&lt;&gt;*Disciplin? facultativ?*", $B$19,"&lt;&gt;*Examen de diplom?*"),$G$21,"")</f>
        <v>0</v>
      </c>
      <c r="BI445" s="343">
        <f>IF(COUNTIFS($B$19,"&lt;&gt;"&amp;"",$B$19,"&lt;&gt;practic?*",$B$19,"&lt;&gt;*Elaborare proiect de diplom?*",$B$19,"&lt;&gt;*op?ional*",$B$19,"&lt;&gt;*Disciplin? facultativ?*", $B$19,"&lt;&gt;*Examen de diplom?*"),($H$21+$I$21+$J$21),"")</f>
        <v>28</v>
      </c>
      <c r="BJ445" s="126">
        <f>IF($AZ445&lt;&gt;"",BH445+BI445,"")</f>
        <v>28</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5.0999999999999996</v>
      </c>
      <c r="BR445" s="127">
        <f>IF(COUNTIFS($B$19,"&lt;&gt;"&amp;"",$B$19,"&lt;&gt;practic?*",$B$19,"&lt;&gt;*op?ional*",$B$19,"&lt;&gt;*Disciplin? facultativ?*", $B$19,"&lt;&gt;*Examen de diplom?*"),IF($M$21&lt;&gt;"",$M$21,""),"")</f>
        <v>72</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0</v>
      </c>
      <c r="I446" s="369">
        <f>$H$21+$I$21+$J$21</f>
        <v>28</v>
      </c>
      <c r="J446" s="126">
        <f>H446+I446</f>
        <v>28</v>
      </c>
      <c r="K446" s="255">
        <f>$K$21</f>
        <v>0</v>
      </c>
      <c r="L446" s="127">
        <f>$M$21</f>
        <v>72</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L420.19.01.F2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0</v>
      </c>
      <c r="BF446" s="126">
        <f t="shared" ref="BF446:BF455" si="16">IF($AZ446&lt;&gt;"",ROUND(BI446/14,1),"")</f>
        <v>2</v>
      </c>
      <c r="BG446" s="126">
        <f t="shared" ref="BG446:BG454" si="17">IF($AZ446&lt;&gt;"",BE446+BF446,"")</f>
        <v>2</v>
      </c>
      <c r="BH446" s="169">
        <f>IF(COUNTIFS($B$22,"&lt;&gt;"&amp;"",$B$22,"&lt;&gt;practic?*",$B$22,"&lt;&gt;*Elaborare proiect de diplom?*",$B$22,"&lt;&gt;*op?ional*",$B$22,"&lt;&gt;*Disciplin? facultativ?*", $B$22,"&lt;&gt;*Examen de diplom?*"),$G$24,"")</f>
        <v>0</v>
      </c>
      <c r="BI446" s="343">
        <f>IF(COUNTIFS($B$22,"&lt;&gt;"&amp;"",$B$22,"&lt;&gt;practic?*",$B$22,"&lt;&gt;*Elaborare proiect de diplom?*",$B$22,"&lt;&gt;*op?ional*",$B$22,"&lt;&gt;*Disciplin? facultativ?*", $B$22,"&lt;&gt;*Examen de diplom?*"),($H$24+$I$24+$J$24),"")</f>
        <v>28</v>
      </c>
      <c r="BJ446" s="126">
        <f>IF($AZ446&lt;&gt;"",BH446+BI446,"")</f>
        <v>28</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5.0999999999999996</v>
      </c>
      <c r="BR446" s="259">
        <f>IF(COUNTIFS($B$22,"&lt;&gt;"&amp;"",$B$22,"&lt;&gt;practic?*",$B$22,"&lt;&gt;*op?ional*",$B$22,"&lt;&gt;*Disciplin? facultativ?*", $B$22,"&lt;&gt;*Examen de diplom?*"),IF($M$24&lt;&gt;"",$M$24,""),"")</f>
        <v>72</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0</v>
      </c>
    </row>
    <row r="447" spans="1:610" ht="21" hidden="1" customHeight="1" x14ac:dyDescent="0.2">
      <c r="A447" s="254"/>
      <c r="B447" s="255"/>
      <c r="C447" s="255"/>
      <c r="D447" s="397">
        <f t="shared" ref="D447:D456" si="24">IF(AND((F447&gt;0), (N447&gt;0)),1,0)</f>
        <v>1</v>
      </c>
      <c r="E447" s="255"/>
      <c r="F447" s="369">
        <f>E$24</f>
        <v>4</v>
      </c>
      <c r="G447" s="255"/>
      <c r="H447" s="369">
        <f>G$24</f>
        <v>0</v>
      </c>
      <c r="I447" s="369">
        <f>$H$24+$I$24+$J$24</f>
        <v>28</v>
      </c>
      <c r="J447" s="126">
        <f t="shared" ref="J447:J456" si="25">H447+I447</f>
        <v>28</v>
      </c>
      <c r="K447" s="255">
        <f>$K$24</f>
        <v>0</v>
      </c>
      <c r="L447" s="369">
        <f>$M$24</f>
        <v>72</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L420.19.01.F3</v>
      </c>
      <c r="AY447" s="244">
        <v>3</v>
      </c>
      <c r="AZ447" s="258"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0</v>
      </c>
      <c r="BF447" s="126">
        <f t="shared" si="16"/>
        <v>2</v>
      </c>
      <c r="BG447" s="126">
        <f t="shared" si="17"/>
        <v>2</v>
      </c>
      <c r="BH447" s="343">
        <f>IF(COUNTIFS($B$25,"&lt;&gt;"&amp;"",$B$25,"&lt;&gt;practic?*",$B$25,"&lt;&gt;*Elaborare proiect de diplom?*",$B$25,"&lt;&gt;*op?ional*",$B$25,"&lt;&gt;*Disciplin? facultativ?*", $B$25,"&lt;&gt;*Examen de diplom?*"),$G$27,"")</f>
        <v>0</v>
      </c>
      <c r="BI447" s="343">
        <f>IF(COUNTIFS($B$25,"&lt;&gt;"&amp;"",$B$25,"&lt;&gt;practic?*",$B$25,"&lt;&gt;*Elaborare proiect de diplom?*",$B$25,"&lt;&gt;*op?ional*",$B$25,"&lt;&gt;*Disciplin? facultativ?*", $B$25,"&lt;&gt;*Examen de diplom?*"),($H$27+$I$27+$J$27),"")</f>
        <v>28</v>
      </c>
      <c r="BJ447" s="126">
        <f t="shared" ref="BJ447:BJ454" si="28">IF($AZ447&lt;&gt;"",BH447+BI447,"")</f>
        <v>28</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6.9</v>
      </c>
      <c r="BR447" s="259">
        <f>IF(COUNTIFS($B$25,"&lt;&gt;"&amp;"",$B$25,"&lt;&gt;practic?*",$B$25,"&lt;&gt;*op?ional*",$B$25,"&lt;&gt;*Disciplin? facultativ?*", $B$25,"&lt;&gt;*Examen de diplom?*"),IF($M$27&lt;&gt;"",$M$27,""),"")</f>
        <v>97</v>
      </c>
      <c r="BS447" s="244">
        <f>IF($AZ$447="","",$E$27)</f>
        <v>5</v>
      </c>
      <c r="BT447" s="169" t="str">
        <f>IF(COUNTIFS($B$25,"&lt;&gt;"&amp;"",$B$25,"&lt;&gt;practic?*",$B$25,"&lt;&gt;*op?ional*",$B$25,"&lt;&gt;*Disciplin? facultativ?*",$B$25,"&lt;&gt;*Examen de diplom?*"),$L$27,"")</f>
        <v>DF</v>
      </c>
      <c r="BU447" s="126">
        <f t="shared" si="22"/>
        <v>8.9</v>
      </c>
      <c r="BV447" s="127">
        <f t="shared" si="23"/>
        <v>125</v>
      </c>
      <c r="BW447" s="420"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5</v>
      </c>
      <c r="G448" s="255"/>
      <c r="H448" s="369">
        <f>G$27</f>
        <v>0</v>
      </c>
      <c r="I448" s="369">
        <f>$H$27+$I$27+$J$27</f>
        <v>28</v>
      </c>
      <c r="J448" s="126">
        <f t="shared" si="25"/>
        <v>28</v>
      </c>
      <c r="K448" s="255">
        <f>$K$27</f>
        <v>0</v>
      </c>
      <c r="L448" s="369">
        <f>$M$27</f>
        <v>97</v>
      </c>
      <c r="M448" s="256"/>
      <c r="N448" s="369">
        <f t="shared" si="26"/>
        <v>125</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L420.19.01.D4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0</v>
      </c>
      <c r="BF448" s="126">
        <f t="shared" si="16"/>
        <v>2.5</v>
      </c>
      <c r="BG448" s="126">
        <f t="shared" si="17"/>
        <v>2.5</v>
      </c>
      <c r="BH448" s="343">
        <f>IF(COUNTIFS($B$28,"&lt;&gt;"&amp;"",$B$28,"&lt;&gt;practic?*",$B$28,"&lt;&gt;*Elaborare proiect de diplom?*",$B$28,"&lt;&gt;*op?ional*",$B$28,"&lt;&gt;*Disciplin? facultativ?*", $B$28,"&lt;&gt;*Examen de diplom?*"),$G$30,"")</f>
        <v>0</v>
      </c>
      <c r="BI448" s="343">
        <f>IF(COUNTIFS($B$28,"&lt;&gt;"&amp;"",$B$28,"&lt;&gt;practic?*",$B$28,"&lt;&gt;*Elaborare proiect de diplom?*",$B$28,"&lt;&gt;*op?ional*",$B$28,"&lt;&gt;*Disciplin? facultativ?*", $B$28,"&lt;&gt;*Examen de diplom?*"),($H$30+$I$30+$J$30),"")</f>
        <v>35</v>
      </c>
      <c r="BJ448" s="126">
        <f t="shared" si="28"/>
        <v>35</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6.4</v>
      </c>
      <c r="BR448" s="259">
        <f>IF(COUNTIFS($B$28,"&lt;&gt;"&amp;"",$B$28,"&lt;&gt;practic?*",$B$28,"&lt;&gt;*op?ional*",$B$28,"&lt;&gt;*Disciplin? facultativ?*", $B$28,"&lt;&gt;*Examen de diplom?*"),IF($M$30&lt;&gt;"",$M$30,""),"")</f>
        <v>90</v>
      </c>
      <c r="BS448" s="244">
        <f>IF($AZ$448="","",$E$30)</f>
        <v>5</v>
      </c>
      <c r="BT448" s="169" t="str">
        <f>IF(COUNTIFS($B$28,"&lt;&gt;"&amp;"",$B$28,"&lt;&gt;practic?*",$B$28,"&lt;&gt;*op?ional*",$B$28,"&lt;&gt;*Disciplin? facultativ?*",$B$28,"&lt;&gt;*Examen de diplom?*"),$L$30,"")</f>
        <v>DD</v>
      </c>
      <c r="BU448" s="126">
        <f t="shared" si="22"/>
        <v>8.9</v>
      </c>
      <c r="BV448" s="127">
        <f t="shared" si="23"/>
        <v>125</v>
      </c>
      <c r="BW448" s="420"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0</v>
      </c>
      <c r="I449" s="369">
        <f>$H$30+$I$30+$J$30</f>
        <v>35</v>
      </c>
      <c r="J449" s="126">
        <f t="shared" si="25"/>
        <v>35</v>
      </c>
      <c r="K449" s="255">
        <f>$K$30</f>
        <v>0</v>
      </c>
      <c r="L449" s="127">
        <f>$M$30</f>
        <v>90</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L420.19.01.F5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0</v>
      </c>
      <c r="BF449" s="126">
        <f t="shared" si="16"/>
        <v>2.5</v>
      </c>
      <c r="BG449" s="126">
        <f t="shared" si="17"/>
        <v>2.5</v>
      </c>
      <c r="BH449" s="343">
        <f>IF(COUNTIFS($B$31,"&lt;&gt;"&amp;"",$B$31,"&lt;&gt;practic?*",$B$31,"&lt;&gt;*Elaborare proiect de diplom?*",$B$31,"&lt;&gt;*op?ional*",$B$31,"&lt;&gt;*Disciplin? facultativ?*", $B$31,"&lt;&gt;*Examen de diplom?*"),$G$33,"")</f>
        <v>0</v>
      </c>
      <c r="BI449" s="343">
        <f>IF(COUNTIFS($B$31,"&lt;&gt;"&amp;"",$B$31,"&lt;&gt;practic?*",$B$31,"&lt;&gt;*Elaborare proiect de diplom?*",$B$31,"&lt;&gt;*op?ional*",$B$31,"&lt;&gt;*Disciplin? facultativ?*", $B$31,"&lt;&gt;*Examen de diplom?*"),($H$33+$I$33+$J$33),"")</f>
        <v>35</v>
      </c>
      <c r="BJ449" s="126">
        <f t="shared" si="28"/>
        <v>35</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6.4</v>
      </c>
      <c r="BR449" s="259">
        <f>IF(COUNTIFS($B$31,"&lt;&gt;"&amp;"",$B$31,"&lt;&gt;practic?*",$B$31,"&lt;&gt;*op?ional*",$B$31,"&lt;&gt;*Disciplin? facultativ?*", $B$31,"&lt;&gt;*Examen de diplom?*"),IF($M$33&lt;&gt;"",$M$33,""),"")</f>
        <v>90</v>
      </c>
      <c r="BS449" s="244">
        <f>IF($AZ$449="","",$E$33)</f>
        <v>5</v>
      </c>
      <c r="BT449" s="169" t="str">
        <f>IF(COUNTIFS($B$31,"&lt;&gt;"&amp;"",$B$31,"&lt;&gt;practic?*",$B$31,"&lt;&gt;*op?ional*",$B$31,"&lt;&gt;*Disciplin? facultativ?*",$B$31,"&lt;&gt;*Examen de diplom?*"),$L$33,"")</f>
        <v>DF</v>
      </c>
      <c r="BU449" s="126">
        <f t="shared" si="22"/>
        <v>8.9</v>
      </c>
      <c r="BV449" s="127">
        <f t="shared" si="23"/>
        <v>125</v>
      </c>
      <c r="BW449" s="420"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5</v>
      </c>
      <c r="H450" s="369">
        <f>G$33</f>
        <v>0</v>
      </c>
      <c r="I450" s="369">
        <f>$H$33+$I$33+$J$33</f>
        <v>35</v>
      </c>
      <c r="J450" s="126">
        <f t="shared" si="25"/>
        <v>35</v>
      </c>
      <c r="K450" s="311">
        <f>$K$33</f>
        <v>0</v>
      </c>
      <c r="L450" s="369">
        <f>$M$33</f>
        <v>90</v>
      </c>
      <c r="N450" s="369">
        <f t="shared" si="26"/>
        <v>125</v>
      </c>
      <c r="O450" s="397" t="b">
        <f t="shared" si="27"/>
        <v>1</v>
      </c>
      <c r="P450" s="405">
        <f t="shared" si="14"/>
        <v>25</v>
      </c>
      <c r="AX450" s="124" t="str">
        <f>$B$36</f>
        <v>L420.19.01.F6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0</v>
      </c>
      <c r="BF450" s="126">
        <f t="shared" si="16"/>
        <v>1</v>
      </c>
      <c r="BG450" s="126">
        <f t="shared" si="17"/>
        <v>1</v>
      </c>
      <c r="BH450" s="343">
        <f>IF(COUNTIFS($B$34,"&lt;&gt;"&amp;"",$B$34,"&lt;&gt;practic?*",$B$34,"&lt;&gt;*Elaborare proiect de diplom?*",$B$34,"&lt;&gt;*op?ional*",$B$34,"&lt;&gt;*Disciplin? facultativ?*", $B$34,"&lt;&gt;*Examen de diplom?*"),$G$36,"")</f>
        <v>0</v>
      </c>
      <c r="BI450" s="343">
        <f>IF(COUNTIFS($B$34,"&lt;&gt;"&amp;"",$B$34,"&lt;&gt;practic?*",$B$34,"&lt;&gt;*Elaborare proiect de diplom?*",$B$34,"&lt;&gt;*op?ional*",$B$34,"&lt;&gt;*Disciplin? facultativ?*", $B$34,"&lt;&gt;*Examen de diplom?*"),($H$36+$I$36+$J$36),"")</f>
        <v>14</v>
      </c>
      <c r="BJ450" s="126">
        <f t="shared" si="28"/>
        <v>14</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4.4000000000000004</v>
      </c>
      <c r="BR450" s="259">
        <f>IF(COUNTIFS($B$34,"&lt;&gt;"&amp;"",$B$34,"&lt;&gt;practic?*",$B$34,"&lt;&gt;*op?ional*",$B$34,"&lt;&gt;*Disciplin? facultativ?*", $B$34,"&lt;&gt;*Examen de diplom?*"),IF($M$36&lt;&gt;"",$M$36,""),"")</f>
        <v>61</v>
      </c>
      <c r="BS450" s="244">
        <f>IF($AZ$450="","",$E$36)</f>
        <v>3</v>
      </c>
      <c r="BT450" s="169" t="str">
        <f>IF(COUNTIFS($B$34,"&lt;&gt;"&amp;"",$B$34,"&lt;&gt;practic?*",$B$34,"&lt;&gt;*op?ional*",$B$34,"&lt;&gt;*Disciplin? facultativ?*",$B$34,"&lt;&gt;*Examen de diplom?*"),$L$36,"")</f>
        <v>DF</v>
      </c>
      <c r="BU450" s="126">
        <f t="shared" si="22"/>
        <v>5.4</v>
      </c>
      <c r="BV450" s="127">
        <f t="shared" si="23"/>
        <v>75</v>
      </c>
      <c r="BW450" s="420"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0</v>
      </c>
      <c r="I451" s="369">
        <f>$H$36+$I$36+$J$36</f>
        <v>14</v>
      </c>
      <c r="J451" s="126">
        <f t="shared" si="25"/>
        <v>14</v>
      </c>
      <c r="K451" s="311">
        <f>$K$36</f>
        <v>0</v>
      </c>
      <c r="L451" s="369">
        <f>$M$36</f>
        <v>61</v>
      </c>
      <c r="N451" s="369">
        <f t="shared" si="26"/>
        <v>75</v>
      </c>
      <c r="O451" s="397" t="b">
        <f t="shared" si="27"/>
        <v>1</v>
      </c>
      <c r="P451" s="405">
        <f t="shared" si="14"/>
        <v>25</v>
      </c>
      <c r="AX451" s="124" t="str">
        <f>$B$39</f>
        <v>L420.19.01.C7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L420.19.01.C8</v>
      </c>
      <c r="AY452" s="244">
        <v>8</v>
      </c>
      <c r="AZ452" s="258"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L420.19.01.11-ij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L420.19.02.F1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0</v>
      </c>
      <c r="BF457" s="126">
        <f>IF($AZ457&lt;&gt;"",ROUND(BI457/14,1),"")</f>
        <v>2</v>
      </c>
      <c r="BG457" s="126">
        <f>IF($AZ457&lt;&gt;"",BE457+BF457,"")</f>
        <v>2</v>
      </c>
      <c r="BH457" s="127">
        <f>IF(COUNTIFS($N$19,"&lt;&gt;"&amp;"",$N$19,"&lt;&gt;practic?*",$N$19,"&lt;&gt;*Elaborare proiect de diplom?*",$N$19,"&lt;&gt;*op?ional*",$N$19,"&lt;&gt;*Disciplin? facultativ?*", $N$19,"&lt;&gt;*Examen de diplom?*"),$S$21,"")</f>
        <v>0</v>
      </c>
      <c r="BI457" s="127">
        <f>IF(COUNTIFS($N$19,"&lt;&gt;"&amp;"",$N$19,"&lt;&gt;practic?*",$N$19,"&lt;&gt;*Elaborare proiect de diplom?*",$N$19,"&lt;&gt;*op?ional*",$N$19,"&lt;&gt;*Disciplin? facultativ?*", $N$19,"&lt;&gt;*Examen de diplom?*"),($T$21+$U$21+$V$21),"")</f>
        <v>28</v>
      </c>
      <c r="BJ457" s="126">
        <f>IF($AZ457&lt;&gt;"",BH457+BI457,"")</f>
        <v>28</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5.0999999999999996</v>
      </c>
      <c r="BR457" s="127">
        <f>IF(COUNTIFS($N$19,"&lt;&gt;"&amp;"",$N$19,"&lt;&gt;practic?*",$N$19,"&lt;&gt;*op?ional*",$N$19,"&lt;&gt;*Disciplin? facultativ?*", $N$19,"&lt;&gt;*Examen de diplom?*"),IF($Y$21&lt;&gt;"",$Y$21,""),"")</f>
        <v>72</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0</v>
      </c>
      <c r="I458" s="127">
        <f>$T$21+$U$21+$V$21</f>
        <v>28</v>
      </c>
      <c r="J458" s="126">
        <f>H458+I458</f>
        <v>28</v>
      </c>
      <c r="K458" s="311">
        <f>$W$21</f>
        <v>0</v>
      </c>
      <c r="L458" s="127">
        <f>$Y$21</f>
        <v>72</v>
      </c>
      <c r="N458" s="370">
        <f>IF(ISNUMBER(L458+K458+J458), L458+K458+J458,0)</f>
        <v>100</v>
      </c>
      <c r="O458" s="397" t="b">
        <f>IF(D458=0,TRUE, IF(N458/25=F458,TRUE,FALSE))</f>
        <v>1</v>
      </c>
      <c r="P458" s="405">
        <f t="shared" si="14"/>
        <v>25</v>
      </c>
      <c r="AX458" s="124" t="str">
        <f>$N$24</f>
        <v>L420.19.02.F2</v>
      </c>
      <c r="AY458" s="244">
        <v>2</v>
      </c>
      <c r="AZ458" s="258" t="str">
        <f>IF(COUNTIFS($N$22,"&lt;&gt;"&amp;"",$N$22,"&lt;&gt;practic?*",$N$22,"&lt;&gt;*op?ional*",$N$22,"&lt;&gt;*Disciplin? facultativ?*", $N$22,"&lt;&gt;*Examen de diplom?*"),$N$22,"")</f>
        <v>Grafică tehnică asistată de calculator</v>
      </c>
      <c r="BA458" s="258">
        <f>IF($AZ$458="","",ROUND(RIGHT($N$18,1)/2,0))</f>
        <v>1</v>
      </c>
      <c r="BB458" s="258" t="str">
        <f>IF($AZ$458="","",RIGHT($N$18,1))</f>
        <v>2</v>
      </c>
      <c r="BC458" s="258" t="str">
        <f>IF($AZ$458="","",$R$24)</f>
        <v>E</v>
      </c>
      <c r="BD458" s="258" t="str">
        <f>IF($AZ$458="","","DI")</f>
        <v>DI</v>
      </c>
      <c r="BE458" s="126">
        <f t="shared" ref="BE458:BE467" si="30">IF($AZ458&lt;&gt;"",ROUND(BH458/14,1),"")</f>
        <v>0</v>
      </c>
      <c r="BF458" s="126">
        <f t="shared" ref="BF458:BF467" si="31">IF($AZ458&lt;&gt;"",ROUND(BI458/14,1),"")</f>
        <v>2.5</v>
      </c>
      <c r="BG458" s="126">
        <f t="shared" ref="BG458:BG467" si="32">IF($AZ458&lt;&gt;"",BE458+BF458,"")</f>
        <v>2.5</v>
      </c>
      <c r="BH458" s="259">
        <f>IF(COUNTIFS($N$22,"&lt;&gt;"&amp;"",$N$22,"&lt;&gt;practic?*",$N$22,"&lt;&gt;*Elaborare proiect de diplom?*",$N$22,"&lt;&gt;*op?ional*",$N$22,"&lt;&gt;*Disciplin? facultativ?*", $N$22,"&lt;&gt;*Examen de diplom?*"),$S$24,"")</f>
        <v>0</v>
      </c>
      <c r="BI458" s="259">
        <f>IF(COUNTIFS($N$22,"&lt;&gt;"&amp;"",$N$22,"&lt;&gt;practic?*",$N$22,"&lt;&gt;*Elaborare proiect de diplom?*",$N$22,"&lt;&gt;*op?ional*",$N$22,"&lt;&gt;*Disciplin? facultativ?*", $N$22,"&lt;&gt;*Examen de diplom?*"),($T$24+$U$24+$V$24),"")</f>
        <v>35</v>
      </c>
      <c r="BJ458" s="126">
        <f t="shared" ref="BJ458:BJ467" si="33">IF($AZ458&lt;&gt;"",BH458+BI458,"")</f>
        <v>35</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6.4</v>
      </c>
      <c r="BR458" s="259">
        <f>IF(COUNTIFS($N$22,"&lt;&gt;"&amp;"",$N$22,"&lt;&gt;practic?*",$N$22,"&lt;&gt;*op?ional*",$N$22,"&lt;&gt;*Disciplin? facultativ?*", $N$22,"&lt;&gt;*Examen de diplom?*"),IF($Y$24&lt;&gt;"",$Y$24,""),"")</f>
        <v>90</v>
      </c>
      <c r="BS458" s="259">
        <f>IF($AZ$458="","",$Q$24)</f>
        <v>5</v>
      </c>
      <c r="BT458" s="169" t="str">
        <f>IF(COUNTIFS($B$22,"&lt;&gt;"&amp;"",$B$22,"&lt;&gt;practic?*",$B$22,"&lt;&gt;*op?ional*",$B$22,"&lt;&gt;*Disciplin? facultativ?*",$B$22,"&lt;&gt;*Examen de diplom?*"),$X$24,"")</f>
        <v>DF</v>
      </c>
      <c r="BU458" s="169">
        <f>IF($AZ$458="","",IF($BG$458&lt;&gt;"",$BG$458,0)+IF($BM$458&lt;&gt;"",$BM$458,0)+IF($BQ$458&lt;&gt;"",$BQ$458,0))</f>
        <v>8.9</v>
      </c>
      <c r="BV458" s="259">
        <f>IF($AZ$458="","",IF($BJ$458&lt;&gt;"",$BJ$458,0)+IF($BP$458&lt;&gt;"",$BP$458,0)+IF($BR$458&lt;&gt;"",$BR$458,0))</f>
        <v>125</v>
      </c>
      <c r="BW458" s="420"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5</v>
      </c>
      <c r="H459" s="369">
        <f>S$24</f>
        <v>0</v>
      </c>
      <c r="I459" s="369">
        <f>$T$24+$U$24+$V$24</f>
        <v>35</v>
      </c>
      <c r="J459" s="126">
        <f t="shared" ref="J459:J468" si="40">H459+I459</f>
        <v>35</v>
      </c>
      <c r="K459" s="311">
        <f>$W$24</f>
        <v>0</v>
      </c>
      <c r="L459" s="370">
        <f>$Y$24</f>
        <v>90</v>
      </c>
      <c r="N459" s="370">
        <f t="shared" ref="N459:N468" si="41">IF(ISNUMBER(L459+K459+J459), L459+K459+J459,0)</f>
        <v>125</v>
      </c>
      <c r="O459" s="397" t="b">
        <f t="shared" ref="O459:O468" si="42">IF(D459=0,TRUE, IF(N459/25=F459,TRUE,FALSE))</f>
        <v>1</v>
      </c>
      <c r="P459" s="405">
        <f t="shared" si="14"/>
        <v>25</v>
      </c>
      <c r="AX459" s="124" t="str">
        <f>$N$27</f>
        <v>L420.19.02.D3</v>
      </c>
      <c r="AY459" s="244">
        <v>3</v>
      </c>
      <c r="AZ459" s="258" t="str">
        <f>IF(COUNTIFS($N$25,"&lt;&gt;"&amp;"",$N$25,"&lt;&gt;practic?*",$N$25,"&lt;&gt;*op?ional*",$N$25,"&lt;&gt;*Disciplin? facultativ?*", $N$25,"&lt;&gt;*Examen de diplom?*"),$N$25,"")</f>
        <v>Ştiinţa si ingineria materialelor I</v>
      </c>
      <c r="BA459" s="258">
        <f>IF($AZ$459="","",ROUND(RIGHT($N$18,1)/2,0))</f>
        <v>1</v>
      </c>
      <c r="BB459" s="258" t="str">
        <f>IF($AZ$459="","",RIGHT($N$18,1))</f>
        <v>2</v>
      </c>
      <c r="BC459" s="258" t="str">
        <f>IF($AZ$459="","",$R$27)</f>
        <v>E</v>
      </c>
      <c r="BD459" s="258" t="str">
        <f>IF($AZ$459="","","DI")</f>
        <v>DI</v>
      </c>
      <c r="BE459" s="126">
        <f t="shared" si="30"/>
        <v>0</v>
      </c>
      <c r="BF459" s="126">
        <f t="shared" si="31"/>
        <v>2</v>
      </c>
      <c r="BG459" s="126">
        <f t="shared" si="32"/>
        <v>2</v>
      </c>
      <c r="BH459" s="259">
        <f>IF(COUNTIFS($N$25,"&lt;&gt;"&amp;"",$N$25,"&lt;&gt;practic?*",$N$25,"&lt;&gt;*Elaborare proiect de diplom?*",$N$25,"&lt;&gt;*op?ional*",$N$25,"&lt;&gt;*Disciplin? facultativ?*", $N$25,"&lt;&gt;*Examen de diplom?*"),$S$27,"")</f>
        <v>0</v>
      </c>
      <c r="BI459" s="259">
        <f>IF(COUNTIFS($N$25,"&lt;&gt;"&amp;"",$N$25,"&lt;&gt;practic?*",$N$25,"&lt;&gt;*Elaborare proiect de diplom?*",$N$25,"&lt;&gt;*op?ional*",$N$25,"&lt;&gt;*Disciplin? facultativ?*", $N$25,"&lt;&gt;*Examen de diplom?*"),($T$27+$U$27+$V$27),"")</f>
        <v>28</v>
      </c>
      <c r="BJ459" s="126">
        <f t="shared" si="33"/>
        <v>28</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6.9</v>
      </c>
      <c r="BR459" s="259">
        <f>IF(COUNTIFS($N$25,"&lt;&gt;"&amp;"",$N$25,"&lt;&gt;practic?*",$N$25,"&lt;&gt;*op?ional*",$N$25,"&lt;&gt;*Disciplin? facultativ?*", $N$25,"&lt;&gt;*Examen de diplom?*"),IF($Y$27&lt;&gt;"",$Y$27,""),"")</f>
        <v>97</v>
      </c>
      <c r="BS459" s="259">
        <f>IF($AZ$459="","",$Q$27)</f>
        <v>5</v>
      </c>
      <c r="BT459" s="169" t="str">
        <f>IF(COUNTIFS($B$25,"&lt;&gt;"&amp;"",$B$25,"&lt;&gt;practic?*",$B$25,"&lt;&gt;*op?ional*",$B$25,"&lt;&gt;*Disciplin? facultativ?*",$B$25,"&lt;&gt;*Examen de diplom?*"),$X$27,"")</f>
        <v>DD</v>
      </c>
      <c r="BU459" s="169">
        <f>IF($AZ$459="","",IF($BG$459&lt;&gt;"",$BG$459,0)+IF($BM$459&lt;&gt;"",$BM$459,0)+IF($BQ$459&lt;&gt;"",$BQ$459,0))</f>
        <v>8.9</v>
      </c>
      <c r="BV459" s="259">
        <f>IF($AZ$459="","",IF($BJ$459&lt;&gt;"",$BJ$459,0)+IF($BP$459&lt;&gt;"",$BP$459,0)+IF($BR$459&lt;&gt;"",$BR$459,0))</f>
        <v>125</v>
      </c>
      <c r="BW459" s="420"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5</v>
      </c>
      <c r="H460" s="369">
        <f>S$27</f>
        <v>0</v>
      </c>
      <c r="I460" s="369">
        <f>$T$27+$U$27+$V$27</f>
        <v>28</v>
      </c>
      <c r="J460" s="126">
        <f t="shared" si="40"/>
        <v>28</v>
      </c>
      <c r="K460" s="311">
        <f>$W$27</f>
        <v>0</v>
      </c>
      <c r="L460" s="370">
        <f>$Y$27</f>
        <v>97</v>
      </c>
      <c r="N460" s="370">
        <f t="shared" si="41"/>
        <v>125</v>
      </c>
      <c r="O460" s="397" t="b">
        <f t="shared" si="42"/>
        <v>1</v>
      </c>
      <c r="P460" s="405">
        <f t="shared" si="14"/>
        <v>25</v>
      </c>
      <c r="AX460" s="124" t="str">
        <f>$N$30</f>
        <v>L420.19.02.D4</v>
      </c>
      <c r="AY460" s="127">
        <v>4</v>
      </c>
      <c r="AZ460" s="258" t="str">
        <f>IF(COUNTIFS($N$28,"&lt;&gt;"&amp;"",$N$28,"&lt;&gt;practic?*",$N$28,"&lt;&gt;*op?ional*",$N$28,"&lt;&gt;*Disciplin? facultativ?*", $N$28,"&lt;&gt;*Examen de diplom?*"),$N$28,"")</f>
        <v>Fundamente de mecanică</v>
      </c>
      <c r="BA460" s="258">
        <f>IF($AZ$460="","",ROUND(RIGHT($N$18,1)/2,0))</f>
        <v>1</v>
      </c>
      <c r="BB460" s="258" t="str">
        <f>IF($AZ$460="","",RIGHT($N$18,1))</f>
        <v>2</v>
      </c>
      <c r="BC460" s="258" t="str">
        <f>IF($AZ$460="","",$R$30)</f>
        <v>E</v>
      </c>
      <c r="BD460" s="258" t="str">
        <f>IF($AZ$460="","","DI")</f>
        <v>DI</v>
      </c>
      <c r="BE460" s="126">
        <f t="shared" si="30"/>
        <v>0</v>
      </c>
      <c r="BF460" s="126">
        <f t="shared" si="31"/>
        <v>2</v>
      </c>
      <c r="BG460" s="126">
        <f t="shared" si="32"/>
        <v>2</v>
      </c>
      <c r="BH460" s="259">
        <f>IF(COUNTIFS($N$28,"&lt;&gt;"&amp;"",$N$28,"&lt;&gt;practic?*",$N$28,"&lt;&gt;*Elaborare proiect de diplom?*",$N$28,"&lt;&gt;*op?ional*",$N$28,"&lt;&gt;*Disciplin? facultativ?*", $N$28,"&lt;&gt;*Examen de diplom?*"),$S$30,"")</f>
        <v>0</v>
      </c>
      <c r="BI460" s="259">
        <f>IF(COUNTIFS($N$28,"&lt;&gt;"&amp;"",$N$28,"&lt;&gt;practic?*",$N$28,"&lt;&gt;*Elaborare proiect de diplom?*",$N$28,"&lt;&gt;*op?ional*",$N$28,"&lt;&gt;*Disciplin? facultativ?*", $N$28,"&lt;&gt;*Examen de diplom?*"),($T$30+$U$30+$V$30),"")</f>
        <v>28</v>
      </c>
      <c r="BJ460" s="126">
        <f t="shared" si="33"/>
        <v>28</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6.9</v>
      </c>
      <c r="BR460" s="259">
        <f>IF(COUNTIFS($N$28,"&lt;&gt;"&amp;"",$N$28,"&lt;&gt;practic?*",$N$28,"&lt;&gt;*op?ional*",$N$28,"&lt;&gt;*Disciplin? facultativ?*", $N$28,"&lt;&gt;*Examen de diplom?*"),IF($Y$30&lt;&gt;"",$Y$30,""),"")</f>
        <v>97</v>
      </c>
      <c r="BS460" s="259">
        <f>IF($AZ$460="","",$Q$30)</f>
        <v>5</v>
      </c>
      <c r="BT460" s="169" t="str">
        <f>IF(COUNTIFS($B$28,"&lt;&gt;"&amp;"",$B$28,"&lt;&gt;practic?*",$B$28,"&lt;&gt;*op?ional*",$B$28,"&lt;&gt;*Disciplin? facultativ?*",$B$28,"&lt;&gt;*Examen de diplom?*"),$X$30,"")</f>
        <v>DD</v>
      </c>
      <c r="BU460" s="169">
        <f>IF($AZ$460="","",IF($BG$460&lt;&gt;"",$BG$460,0)+IF($BM$460&lt;&gt;"",$BM$460,0)+IF($BQ$460&lt;&gt;"",$BQ$460,0))</f>
        <v>8.9</v>
      </c>
      <c r="BV460" s="259">
        <f>IF($AZ$460="","",IF($BJ$460&lt;&gt;"",$BJ$460,0)+IF($BP$460&lt;&gt;"",$BP$460,0)+IF($BR$460&lt;&gt;"",$BR$460,0))</f>
        <v>125</v>
      </c>
      <c r="BW460" s="420"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5</v>
      </c>
      <c r="H461" s="127">
        <f>S$30</f>
        <v>0</v>
      </c>
      <c r="I461" s="369">
        <f>$T$30+$U$30+$V$30</f>
        <v>28</v>
      </c>
      <c r="J461" s="126">
        <f t="shared" si="40"/>
        <v>28</v>
      </c>
      <c r="K461" s="311">
        <f>$W$30</f>
        <v>0</v>
      </c>
      <c r="L461" s="127">
        <f>$Y$30</f>
        <v>97</v>
      </c>
      <c r="N461" s="370">
        <f t="shared" si="41"/>
        <v>125</v>
      </c>
      <c r="O461" s="397" t="b">
        <f t="shared" si="42"/>
        <v>1</v>
      </c>
      <c r="P461" s="405">
        <f t="shared" si="14"/>
        <v>25</v>
      </c>
      <c r="AX461" s="124" t="str">
        <f>$N$33</f>
        <v>L420.19.02.D5</v>
      </c>
      <c r="AY461" s="258">
        <v>5</v>
      </c>
      <c r="AZ461" s="258" t="str">
        <f>IF(COUNTIFS($N$31,"&lt;&gt;"&amp;"",$N$31,"&lt;&gt;practic?*",$N$31,"&lt;&gt;*op?ional*",$N$31,"&lt;&gt;*Disciplin? facultativ?*", $N$31,"&lt;&gt;*Examen de diplom?*"),$N$31,"")</f>
        <v xml:space="preserve">Tehnologia materialelor </v>
      </c>
      <c r="BA461" s="258">
        <f>IF($AZ$461="","",ROUND(RIGHT($N$18,1)/2,0))</f>
        <v>1</v>
      </c>
      <c r="BB461" s="258" t="str">
        <f>IF($AZ$461="","",RIGHT($N$18,1))</f>
        <v>2</v>
      </c>
      <c r="BC461" s="258" t="str">
        <f>IF($AZ$461="","",$R$33)</f>
        <v>E</v>
      </c>
      <c r="BD461" s="258" t="str">
        <f>IF($AZ$461="","","DI")</f>
        <v>DI</v>
      </c>
      <c r="BE461" s="126">
        <f t="shared" si="30"/>
        <v>0</v>
      </c>
      <c r="BF461" s="126">
        <f t="shared" si="31"/>
        <v>2</v>
      </c>
      <c r="BG461" s="126">
        <f t="shared" si="32"/>
        <v>2</v>
      </c>
      <c r="BH461" s="259">
        <f>IF(COUNTIFS($N$31,"&lt;&gt;"&amp;"",$N$31,"&lt;&gt;practic?*",$N$31,"&lt;&gt;*Elaborare proiect de diplom?*",$N$31,"&lt;&gt;*op?ional*",$N$31,"&lt;&gt;*Disciplin? facultativ?*", $N$31,"&lt;&gt;*Examen de diplom?*"),$S$33,"")</f>
        <v>0</v>
      </c>
      <c r="BI461" s="259">
        <f>IF(COUNTIFS($N$31,"&lt;&gt;"&amp;"",$N$31,"&lt;&gt;practic?*",$N$31,"&lt;&gt;*Elaborare proiect de diplom?*",$N$31,"&lt;&gt;*op?ional*",$N$31,"&lt;&gt;*Disciplin? facultativ?*", $N$31,"&lt;&gt;*Examen de diplom?*"),($T$33+$U$33+$V$33),"")</f>
        <v>28</v>
      </c>
      <c r="BJ461" s="126">
        <f t="shared" si="33"/>
        <v>28</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6.9</v>
      </c>
      <c r="BR461" s="259">
        <f>IF(COUNTIFS($N$31,"&lt;&gt;"&amp;"",$N$31,"&lt;&gt;practic?*",$N$31,"&lt;&gt;*op?ional*",$N$31,"&lt;&gt;*Disciplin? facultativ?*", $N$31,"&lt;&gt;*Examen de diplom?*"),IF($Y$33&lt;&gt;"",$Y$33,""),"")</f>
        <v>97</v>
      </c>
      <c r="BS461" s="259">
        <f>IF($AZ$461="","",$Q$33)</f>
        <v>5</v>
      </c>
      <c r="BT461" s="169" t="str">
        <f>IF(COUNTIFS($B$31,"&lt;&gt;"&amp;"",$B$31,"&lt;&gt;practic?*",$B$31,"&lt;&gt;*op?ional*",$B$31,"&lt;&gt;*Disciplin? facultativ?*",$B$31,"&lt;&gt;*Examen de diplom?*"),$X$33,"")</f>
        <v>DD</v>
      </c>
      <c r="BU461" s="169">
        <f>IF($AZ$461="","",IF($BG$461&lt;&gt;"",$BG$461,0)+IF($BM$461&lt;&gt;"",$BM$461,0)+IF($BQ$461&lt;&gt;"",$BQ$461,0))</f>
        <v>8.9</v>
      </c>
      <c r="BV461" s="259">
        <f>IF($AZ$461="","",IF($BJ$461&lt;&gt;"",$BJ$461,0)+IF($BP$461&lt;&gt;"",$BP$461,0)+IF($BR$461&lt;&gt;"",$BR$461,0))</f>
        <v>125</v>
      </c>
      <c r="BW461" s="420"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5</v>
      </c>
      <c r="H462" s="369">
        <f>S$33</f>
        <v>0</v>
      </c>
      <c r="I462" s="369">
        <f>$T$33+$U$33+$V$33</f>
        <v>28</v>
      </c>
      <c r="J462" s="126">
        <f t="shared" si="40"/>
        <v>28</v>
      </c>
      <c r="K462" s="311">
        <f>$W$33</f>
        <v>0</v>
      </c>
      <c r="L462" s="370">
        <f>$Y$33</f>
        <v>97</v>
      </c>
      <c r="N462" s="370">
        <f t="shared" si="41"/>
        <v>125</v>
      </c>
      <c r="O462" s="397" t="b">
        <f t="shared" si="42"/>
        <v>1</v>
      </c>
      <c r="P462" s="405">
        <f t="shared" si="14"/>
        <v>25</v>
      </c>
      <c r="AX462" s="124" t="str">
        <f>$N$36</f>
        <v>L420.19.02.C6</v>
      </c>
      <c r="AY462" s="258">
        <v>6</v>
      </c>
      <c r="AZ462" s="258" t="str">
        <f>IF(COUNTIFS($N$34,"&lt;&gt;"&amp;"",$N$34,"&lt;&gt;practic?*",$N$34,"&lt;&gt;*op?ional*",$N$34,"&lt;&gt;*Disciplin? facultativ?*", $N$34,"&lt;&gt;*Examen de diplom?*"),$N$34,"")</f>
        <v>Cultură şi civilizaţie</v>
      </c>
      <c r="BA462" s="258">
        <f>IF($AZ$462="","",ROUND(RIGHT($N$18,1)/2,0))</f>
        <v>1</v>
      </c>
      <c r="BB462" s="258" t="str">
        <f>IF($AZ$462="","",RIGHT($N$18,1))</f>
        <v>2</v>
      </c>
      <c r="BC462" s="258" t="str">
        <f>IF($AZ$462="","",$R$36)</f>
        <v>D</v>
      </c>
      <c r="BD462" s="258" t="str">
        <f>IF($AZ$462="","","DI")</f>
        <v>DI</v>
      </c>
      <c r="BE462" s="126">
        <f t="shared" si="30"/>
        <v>0</v>
      </c>
      <c r="BF462" s="126">
        <f t="shared" si="31"/>
        <v>1</v>
      </c>
      <c r="BG462" s="126">
        <f t="shared" si="32"/>
        <v>1</v>
      </c>
      <c r="BH462" s="259">
        <f>IF(COUNTIFS($N$34,"&lt;&gt;"&amp;"",$N$34,"&lt;&gt;practic?*",$N$34,"&lt;&gt;*Elaborare proiect de diplom?*",$N$34,"&lt;&gt;*op?ional*",$N$34,"&lt;&gt;*Disciplin? facultativ?*", $N$34,"&lt;&gt;*Examen de diplom?*"),$S$36,"")</f>
        <v>0</v>
      </c>
      <c r="BI462" s="259">
        <f>IF(COUNTIFS($N$34,"&lt;&gt;"&amp;"",$N$34,"&lt;&gt;practic?*",$N$34,"&lt;&gt;*Elaborare proiect de diplom?*",$N$34,"&lt;&gt;*op?ional*",$N$34,"&lt;&gt;*Disciplin? facultativ?*", $N$34,"&lt;&gt;*Examen de diplom?*"),($T$36+$U$36+$V$36),"")</f>
        <v>14</v>
      </c>
      <c r="BJ462" s="126">
        <f t="shared" si="33"/>
        <v>14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2.6</v>
      </c>
      <c r="BR462" s="259">
        <f>IF(COUNTIFS($N$34,"&lt;&gt;"&amp;"",$N$34,"&lt;&gt;practic?*",$N$34,"&lt;&gt;*op?ional*",$N$34,"&lt;&gt;*Disciplin? facultativ?*", $N$34,"&lt;&gt;*Examen de diplom?*"),IF($Y$36&lt;&gt;"",$Y$36,""),"")</f>
        <v>36</v>
      </c>
      <c r="BS462" s="259">
        <f>IF($AZ$462="","",$Q$36)</f>
        <v>2</v>
      </c>
      <c r="BT462" s="169" t="str">
        <f>IF(COUNTIFS($B$34,"&lt;&gt;"&amp;"",$B$34,"&lt;&gt;practic?*",$B$34,"&lt;&gt;*op?ional*",$B$34,"&lt;&gt;*Disciplin? facultativ?*",$B$34,"&lt;&gt;*Examen de diplom?*"),$X$36,"")</f>
        <v>DC</v>
      </c>
      <c r="BU462" s="169">
        <f>IF($AZ$462="","",IF($BG$462&lt;&gt;"",$BG$462,0)+IF($BM$462&lt;&gt;"",$BM$462,0)+IF($BQ$462&lt;&gt;"",$BQ$462,0))</f>
        <v>3.6</v>
      </c>
      <c r="BV462" s="259">
        <f>IF($AZ$462="","",IF($BJ$462&lt;&gt;"",$BJ$462,0)+IF($BP$462&lt;&gt;"",$BP$462,0)+IF($BR$462&lt;&gt;"",$BR$462,0))</f>
        <v>50</v>
      </c>
      <c r="BW462" s="420"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2</v>
      </c>
      <c r="H463" s="369">
        <f>S$36</f>
        <v>0</v>
      </c>
      <c r="I463" s="369">
        <f>$T$36+$U$36+$V$36</f>
        <v>14</v>
      </c>
      <c r="J463" s="126">
        <f t="shared" si="40"/>
        <v>14</v>
      </c>
      <c r="K463" s="311">
        <f>$W$36</f>
        <v>0</v>
      </c>
      <c r="L463" s="370">
        <f>$Y$36</f>
        <v>36</v>
      </c>
      <c r="N463" s="370">
        <f t="shared" si="41"/>
        <v>50</v>
      </c>
      <c r="O463" s="397" t="b">
        <f t="shared" si="42"/>
        <v>1</v>
      </c>
      <c r="P463" s="405">
        <f t="shared" si="14"/>
        <v>25</v>
      </c>
      <c r="AX463" s="124" t="str">
        <f>$N$39</f>
        <v>L420.19.02.C7</v>
      </c>
      <c r="AY463" s="127">
        <v>7</v>
      </c>
      <c r="AZ463" s="258" t="str">
        <f>IF(COUNTIFS($N$37,"&lt;&gt;"&amp;"",$N$37,"&lt;&gt;practic?*",$N$37,"&lt;&gt;*op?ional*",$N$37,"&lt;&gt;*Disciplin? facultativ?*",$N$37,"&lt;&gt;*Examen de diplom?*"),$N$37,"")</f>
        <v>Limbi moderne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L420.19.02.C8</v>
      </c>
      <c r="AY464" s="258">
        <v>8</v>
      </c>
      <c r="AZ464" s="258" t="str">
        <f>IF(COUNTIFS($N$40,"&lt;&gt;"&amp;"",$N$40,"&lt;&gt;practic?*",$N$40,"&lt;&gt;*op?ional*",$N$40,"&lt;&gt;*Disciplin? facultativ?*", $N$40,"&lt;&gt;*Examen de diplom?*"),$N$40,"")</f>
        <v>Educaţie fizică II</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L420.19.02.11-ij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L420.19.03.D1</v>
      </c>
      <c r="AY470" s="127">
        <v>1</v>
      </c>
      <c r="AZ470" s="127" t="str">
        <f>IF(COUNTIFS($Z$19,"&lt;&gt;"&amp;"",$Z$19,"&lt;&gt;practic?*",$Z$19,"&lt;&gt;*op?ional*",$Z$19,"&lt;&gt;*Disciplin? facultativ?*", $Z$19,"&lt;&gt;*Examen de diplom?*"),$Z$19,"")</f>
        <v>Fundamente de inginerie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0</v>
      </c>
      <c r="BF470" s="126">
        <f>IF($AZ470&lt;&gt;"",ROUND(BI470/14,1),"")</f>
        <v>2</v>
      </c>
      <c r="BG470" s="126">
        <f>IF($AZ470&lt;&gt;"",BE470+BF470,"")</f>
        <v>2</v>
      </c>
      <c r="BH470" s="127">
        <f>IF(COUNTIFS($Z$19,"&lt;&gt;"&amp;"",$Z$19,"&lt;&gt;practic?*",$Z$19,"&lt;&gt;*Elaborare proiect de diplom?*",$Z$19,"&lt;&gt;*op?ional*",$Z$19,"&lt;&gt;*Disciplin? facultativ?*", $Z$19,"&lt;&gt;*Examen de diplom?*"),$AE$21,"")</f>
        <v>0</v>
      </c>
      <c r="BI470" s="127">
        <f>IF(COUNTIFS($Z$19,"&lt;&gt;"&amp;"",$Z$19,"&lt;&gt;practic?*",$Z$19,"&lt;&gt;*Elaborare proiect de diplom?*",$Z$19,"&lt;&gt;*op?ional*",$Z$19,"&lt;&gt;*Disciplin? facultativ?*", $Z$19,"&lt;&gt;*Examen de diplom?*"),($AF$21+$AG$21+$AH$21),"")</f>
        <v>28</v>
      </c>
      <c r="BJ470" s="126">
        <f>IF($AZ470&lt;&gt;"",BH470+BI470,"")</f>
        <v>28</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6.9</v>
      </c>
      <c r="BR470" s="127">
        <f>IF(COUNTIFS($Z$19,"&lt;&gt;"&amp;"",$Z$19,"&lt;&gt;practic?*",$Z$19,"&lt;&gt;*op?ional*",$Z$19,"&lt;&gt;*Disciplin? facultativ?*", $Z$19,"&lt;&gt;*Examen de diplom?*"),IF($AK$21&lt;&gt;"",$AK$21,""),"")</f>
        <v>97</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20"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5</v>
      </c>
      <c r="H471" s="127">
        <f>AE$21</f>
        <v>0</v>
      </c>
      <c r="I471" s="127">
        <f>$AF$21+$AG$21+$AH$21</f>
        <v>28</v>
      </c>
      <c r="J471" s="126">
        <f>H471+I471</f>
        <v>28</v>
      </c>
      <c r="K471" s="311">
        <f>$AI$21</f>
        <v>0</v>
      </c>
      <c r="L471" s="127">
        <f>$AK$21</f>
        <v>97</v>
      </c>
      <c r="N471" s="370">
        <f>IF(ISNUMBER(L471+K471+J471), L471+K471+J471,0)</f>
        <v>125</v>
      </c>
      <c r="O471" s="397" t="b">
        <f>IF(D471=0,TRUE, IF(N471/25=F471,TRUE,FALSE))</f>
        <v>1</v>
      </c>
      <c r="P471" s="405">
        <f t="shared" ref="P471:P493" si="45">N471/F471</f>
        <v>25</v>
      </c>
      <c r="AX471" s="124" t="str">
        <f>$Z$24</f>
        <v>L420.19.03.F2</v>
      </c>
      <c r="AY471" s="259">
        <v>2</v>
      </c>
      <c r="AZ471" s="259" t="str">
        <f>IF(COUNTIFS($Z$22,"&lt;&gt;"&amp;"",$Z$22,"&lt;&gt;practic?*",$Z$22,"&lt;&gt;*op?ional*",$Z$22,"&lt;&gt;*Disciplin? facultativ?*", $Z$22,"&lt;&gt;*Examen de diplom?*"),$Z$22,"")</f>
        <v>Matematici asistate de calculator</v>
      </c>
      <c r="BA471" s="259">
        <f t="shared" si="43"/>
        <v>2</v>
      </c>
      <c r="BB471" s="259" t="str">
        <f t="shared" si="44"/>
        <v>3</v>
      </c>
      <c r="BC471" s="259" t="str">
        <f>IF($AZ471="","",$AD$24)</f>
        <v>D</v>
      </c>
      <c r="BD471" s="259" t="str">
        <f>IF($AZ471="","","DI")</f>
        <v>DI</v>
      </c>
      <c r="BE471" s="126">
        <f t="shared" ref="BE471:BE480" si="46">IF($AZ471&lt;&gt;"",ROUND(BH471/14,1),"")</f>
        <v>0</v>
      </c>
      <c r="BF471" s="126">
        <f t="shared" ref="BF471:BF480" si="47">IF($AZ471&lt;&gt;"",ROUND(BI471/14,1),"")</f>
        <v>2</v>
      </c>
      <c r="BG471" s="126">
        <f t="shared" ref="BG471:BG480" si="48">IF($AZ471&lt;&gt;"",BE471+BF471,"")</f>
        <v>2</v>
      </c>
      <c r="BH471" s="259">
        <f>IF(COUNTIFS($Z$22,"&lt;&gt;"&amp;"",$Z$22,"&lt;&gt;practic?*",$Z$22,"&lt;&gt;*Elaborare proiect de diplom?*",$Z$22,"&lt;&gt;*op?ional*",$Z$22,"&lt;&gt;*Disciplin? facultativ?*", $Z$22,"&lt;&gt;*Examen de diplom?*"),$AE$24,"")</f>
        <v>0</v>
      </c>
      <c r="BI471" s="259">
        <f>IF(COUNTIFS($Z$22,"&lt;&gt;"&amp;"",$Z$22,"&lt;&gt;practic?*",$Z$22,"&lt;&gt;*Elaborare proiect de diplom?*",$Z$22,"&lt;&gt;*op?ional*",$Z$22,"&lt;&gt;*Disciplin? facultativ?*", $Z$22,"&lt;&gt;*Examen de diplom?*"),($AF$24+$AG$24+$AH$24),"")</f>
        <v>28</v>
      </c>
      <c r="BJ471" s="126">
        <f t="shared" ref="BJ471:BJ480" si="49">IF($AZ471&lt;&gt;"",BH471+BI471,"")</f>
        <v>28</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6.9</v>
      </c>
      <c r="BR471" s="259">
        <f>IF(COUNTIFS($Z$22,"&lt;&gt;"&amp;"",$Z$22,"&lt;&gt;practic?*",$Z$22,"&lt;&gt;*op?ional*",$Z$22,"&lt;&gt;*Disciplin? facultativ?*", $Z$22,"&lt;&gt;*Examen de diplom?*"),IF($AK$24&lt;&gt;"",$AK$24,""),"")</f>
        <v>97</v>
      </c>
      <c r="BS471" s="259">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20"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5</v>
      </c>
      <c r="H472" s="370">
        <f>AE$24</f>
        <v>0</v>
      </c>
      <c r="I472" s="369">
        <f>$AF$24+$AG$24+$AH$24</f>
        <v>28</v>
      </c>
      <c r="J472" s="126">
        <f t="shared" ref="J472:J481" si="57">H472+I472</f>
        <v>28</v>
      </c>
      <c r="K472" s="311">
        <f>$AI$24</f>
        <v>0</v>
      </c>
      <c r="L472" s="370">
        <f>$AK$24</f>
        <v>97</v>
      </c>
      <c r="N472" s="370">
        <f t="shared" ref="N472:N481" si="58">IF(ISNUMBER(L472+K472+J472), L472+K472+J472,0)</f>
        <v>125</v>
      </c>
      <c r="O472" s="397" t="b">
        <f t="shared" ref="O472:O481" si="59">IF(D472=0,TRUE, IF(N472/25=F472,TRUE,FALSE))</f>
        <v>1</v>
      </c>
      <c r="P472" s="405">
        <f t="shared" si="45"/>
        <v>25</v>
      </c>
      <c r="AX472" s="124" t="str">
        <f>$Z$27</f>
        <v>L420.19.03.D3</v>
      </c>
      <c r="AY472" s="259">
        <v>3</v>
      </c>
      <c r="AZ472" s="259" t="str">
        <f>IF(COUNTIFS($Z$25,"&lt;&gt;"&amp;"",$Z$25,"&lt;&gt;practic?*",$Z$25,"&lt;&gt;*op?ional*",$Z$25,"&lt;&gt;*Disciplin? facultativ?*", $Z$25,"&lt;&gt;*Examen de diplom?*"),$Z$25,"")</f>
        <v>Rezistenţa materialelor I</v>
      </c>
      <c r="BA472" s="259">
        <f t="shared" si="43"/>
        <v>2</v>
      </c>
      <c r="BB472" s="259" t="str">
        <f t="shared" si="44"/>
        <v>3</v>
      </c>
      <c r="BC472" s="259" t="str">
        <f>IF($AZ472="","",$AD$27)</f>
        <v>E</v>
      </c>
      <c r="BD472" s="127" t="str">
        <f t="shared" ref="BD472:BD480" si="60">IF($AZ472="","","DI")</f>
        <v>DI</v>
      </c>
      <c r="BE472" s="126">
        <f t="shared" si="46"/>
        <v>0</v>
      </c>
      <c r="BF472" s="126">
        <f t="shared" si="47"/>
        <v>2</v>
      </c>
      <c r="BG472" s="126">
        <f t="shared" si="48"/>
        <v>2</v>
      </c>
      <c r="BH472" s="259">
        <f>IF(COUNTIFS($Z$25,"&lt;&gt;"&amp;"",$Z$25,"&lt;&gt;practic?*",$Z$25,"&lt;&gt;*Elaborare proiect de diplom?*",$Z$25,"&lt;&gt;*op?ional*",$Z$25,"&lt;&gt;*Disciplin? facultativ?*", $Z$25,"&lt;&gt;*Examen de diplom?*"),$AE$27,"")</f>
        <v>0</v>
      </c>
      <c r="BI472" s="259">
        <f>IF(COUNTIFS($Z$25,"&lt;&gt;"&amp;"",$Z$25,"&lt;&gt;practic?*",$Z$25,"&lt;&gt;*Elaborare proiect de diplom?*",$Z$25,"&lt;&gt;*op?ional*",$Z$25,"&lt;&gt;*Disciplin? facultativ?*", $Z$25,"&lt;&gt;*Examen de diplom?*"),($AF$27+$AG$27+$AH$27),"")</f>
        <v>28</v>
      </c>
      <c r="BJ472" s="126">
        <f t="shared" si="49"/>
        <v>28</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5.0999999999999996</v>
      </c>
      <c r="BR472" s="259">
        <f>IF(COUNTIFS($Z$25,"&lt;&gt;"&amp;"",$Z$25,"&lt;&gt;practic?*",$Z$25,"&lt;&gt;*op?ional*",$Z$25,"&lt;&gt;*Disciplin? facultativ?*", $Z$25,"&lt;&gt;*Examen de diplom?*"),IF($AK$27&lt;&gt;"",$AK$27,""),"")</f>
        <v>72</v>
      </c>
      <c r="BS472" s="259">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20"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4</v>
      </c>
      <c r="H473" s="370">
        <f>AE$27</f>
        <v>0</v>
      </c>
      <c r="I473" s="369">
        <f>$AF$27+$AG$27+$AH$27</f>
        <v>28</v>
      </c>
      <c r="J473" s="126">
        <f t="shared" si="57"/>
        <v>28</v>
      </c>
      <c r="K473" s="311">
        <f>$AI$27</f>
        <v>0</v>
      </c>
      <c r="L473" s="370">
        <f>$AK$27</f>
        <v>72</v>
      </c>
      <c r="N473" s="370">
        <f t="shared" si="58"/>
        <v>100</v>
      </c>
      <c r="O473" s="397" t="b">
        <f t="shared" si="59"/>
        <v>1</v>
      </c>
      <c r="P473" s="405">
        <f t="shared" si="45"/>
        <v>25</v>
      </c>
      <c r="AX473" s="124" t="str">
        <f>$Z$30</f>
        <v>L420.19.03.F4</v>
      </c>
      <c r="AY473" s="127">
        <v>4</v>
      </c>
      <c r="AZ473" s="259" t="str">
        <f>IF(COUNTIFS($Z$28,"&lt;&gt;"&amp;"",$Z$28,"&lt;&gt;practic?*",$Z$28,"&lt;&gt;*op?ional*",$Z$28,"&lt;&gt;*Disciplin? facultativ?*", $Z$28,"&lt;&gt;*Examen de diplom?*"),$Z$28,"")</f>
        <v>Utilizarea calculatoarelor II</v>
      </c>
      <c r="BA473" s="259">
        <f t="shared" si="43"/>
        <v>2</v>
      </c>
      <c r="BB473" s="259" t="str">
        <f t="shared" si="44"/>
        <v>3</v>
      </c>
      <c r="BC473" s="259" t="str">
        <f>IF($AZ473="","",$AD$30)</f>
        <v>D</v>
      </c>
      <c r="BD473" s="259" t="str">
        <f t="shared" si="60"/>
        <v>DI</v>
      </c>
      <c r="BE473" s="126">
        <f t="shared" si="46"/>
        <v>0</v>
      </c>
      <c r="BF473" s="126">
        <f t="shared" si="47"/>
        <v>2</v>
      </c>
      <c r="BG473" s="126">
        <f t="shared" si="48"/>
        <v>2</v>
      </c>
      <c r="BH473" s="259">
        <f>IF(COUNTIFS($Z$28,"&lt;&gt;"&amp;"",$Z$28,"&lt;&gt;practic?*",$Z$28,"&lt;&gt;*Elaborare proiect de diplom?*",$Z$28,"&lt;&gt;*op?ional*",$Z$28,"&lt;&gt;*Disciplin? facultativ?*", $Z$28,"&lt;&gt;*Examen de diplom?*"),$AE$30,"")</f>
        <v>0</v>
      </c>
      <c r="BI473" s="259">
        <f>IF(COUNTIFS($Z$28,"&lt;&gt;"&amp;"",$Z$28,"&lt;&gt;practic?*",$Z$28,"&lt;&gt;*Elaborare proiect de diplom?*",$Z$28,"&lt;&gt;*op?ional*",$Z$28,"&lt;&gt;*Disciplin? facultativ?*", $Z$28,"&lt;&gt;*Examen de diplom?*"),($AF$30+$AG$30+$AH$30),"")</f>
        <v>28</v>
      </c>
      <c r="BJ473" s="126">
        <f t="shared" si="49"/>
        <v>28</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3.4</v>
      </c>
      <c r="BR473" s="259">
        <f>IF(COUNTIFS($Z$28,"&lt;&gt;"&amp;"",$Z$28,"&lt;&gt;practic?*",$Z$28,"&lt;&gt;*op?ional*",$Z$28,"&lt;&gt;*Disciplin? facultativ?*", $Z$28,"&lt;&gt;*Examen de diplom?*"),IF($AK$30&lt;&gt;"",$AK$30,""),"")</f>
        <v>47</v>
      </c>
      <c r="BS473" s="127">
        <f>IF($AZ473="","",$AC$30)</f>
        <v>3</v>
      </c>
      <c r="BT473" s="169" t="str">
        <f>IF(COUNTIFS($Z$28,"&lt;&gt;"&amp;"",$Z$28,"&lt;&gt;practic?*",$Z$28,"&lt;&gt;*op?ional*",$Z$28,"&lt;&gt;*Disciplin? facultativ?*",$Z$28,"&lt;&gt;*Examen de diplom?*"),$AJ$30,"")</f>
        <v>DF</v>
      </c>
      <c r="BU473" s="126">
        <f t="shared" si="61"/>
        <v>5.4</v>
      </c>
      <c r="BV473" s="127">
        <f t="shared" si="55"/>
        <v>75</v>
      </c>
      <c r="BW473" s="420"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3</v>
      </c>
      <c r="H474" s="127">
        <f>AE$30</f>
        <v>0</v>
      </c>
      <c r="I474" s="369">
        <f>$AF$30+$AG$30+$AH$30</f>
        <v>28</v>
      </c>
      <c r="J474" s="126">
        <f t="shared" si="57"/>
        <v>28</v>
      </c>
      <c r="K474" s="311">
        <f>$AI$30</f>
        <v>0</v>
      </c>
      <c r="L474" s="127">
        <f>$AK$30</f>
        <v>47</v>
      </c>
      <c r="N474" s="370">
        <f t="shared" si="58"/>
        <v>75</v>
      </c>
      <c r="O474" s="397" t="b">
        <f t="shared" si="59"/>
        <v>1</v>
      </c>
      <c r="P474" s="405">
        <f t="shared" si="45"/>
        <v>25</v>
      </c>
      <c r="AX474" s="124" t="str">
        <f>$Z$33</f>
        <v>L420.19.03.F5</v>
      </c>
      <c r="AY474" s="259">
        <v>5</v>
      </c>
      <c r="AZ474" s="259" t="str">
        <f>IF(COUNTIFS($Z$31,"&lt;&gt;"&amp;"",$Z$31,"&lt;&gt;practic?*",$Z$31,"&lt;&gt;*op?ional*",$Z$31,"&lt;&gt;*Disciplin? facultativ?*", $Z$31,"&lt;&gt;*Examen de diplom?*"),$Z$31,"")</f>
        <v>Introducere în metode numerice</v>
      </c>
      <c r="BA474" s="259">
        <f t="shared" si="43"/>
        <v>2</v>
      </c>
      <c r="BB474" s="259" t="str">
        <f t="shared" si="44"/>
        <v>3</v>
      </c>
      <c r="BC474" s="259" t="str">
        <f>IF($AZ474="","",$AD$33)</f>
        <v>D</v>
      </c>
      <c r="BD474" s="127" t="str">
        <f t="shared" si="60"/>
        <v>DI</v>
      </c>
      <c r="BE474" s="126">
        <f t="shared" si="46"/>
        <v>0</v>
      </c>
      <c r="BF474" s="126">
        <f t="shared" si="47"/>
        <v>2</v>
      </c>
      <c r="BG474" s="126">
        <f t="shared" si="48"/>
        <v>2</v>
      </c>
      <c r="BH474" s="259">
        <f>IF(COUNTIFS($Z$31,"&lt;&gt;"&amp;"",$Z$31,"&lt;&gt;practic?*",$Z$31,"&lt;&gt;*Elaborare proiect de diplom?*",$Z$31,"&lt;&gt;*op?ional*",$Z$31,"&lt;&gt;*Disciplin? facultativ?*", $Z$31,"&lt;&gt;*Examen de diplom?*"),$AE$33,"")</f>
        <v>0</v>
      </c>
      <c r="BI474" s="259">
        <f>IF(COUNTIFS($Z$31,"&lt;&gt;"&amp;"",$Z$31,"&lt;&gt;practic?*",$Z$31,"&lt;&gt;*Elaborare proiect de diplom?*",$Z$31,"&lt;&gt;*op?ional*",$Z$31,"&lt;&gt;*Disciplin? facultativ?*", $Z$31,"&lt;&gt;*Examen de diplom?*"),($AF$33+$AG$33+$AH$33),"")</f>
        <v>28</v>
      </c>
      <c r="BJ474" s="126">
        <f t="shared" si="49"/>
        <v>28</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3.4</v>
      </c>
      <c r="BR474" s="259">
        <f>IF(COUNTIFS($Z$31,"&lt;&gt;"&amp;"",$Z$31,"&lt;&gt;practic?*",$Z$31,"&lt;&gt;*op?ional*",$Z$31,"&lt;&gt;*Disciplin? facultativ?*", $Z$31,"&lt;&gt;*Examen de diplom?*"),IF($AK$33&lt;&gt;"",$AK$33,""),"")</f>
        <v>47</v>
      </c>
      <c r="BS474" s="259">
        <f>IF($AZ474="","",$AC$33)</f>
        <v>3</v>
      </c>
      <c r="BT474" s="169" t="str">
        <f>IF(COUNTIFS($Z$31,"&lt;&gt;"&amp;"",$Z$31,"&lt;&gt;practic?*",$Z$31,"&lt;&gt;*op?ional*",$Z$31,"&lt;&gt;*Disciplin? facultativ?*",$Z$31,"&lt;&gt;*Examen de diplom?*"),$AJ$33,"")</f>
        <v>DF</v>
      </c>
      <c r="BU474" s="126">
        <f t="shared" si="61"/>
        <v>5.4</v>
      </c>
      <c r="BV474" s="127">
        <f t="shared" si="55"/>
        <v>75</v>
      </c>
      <c r="BW474" s="420"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3</v>
      </c>
      <c r="H475" s="370">
        <f>AE$33</f>
        <v>0</v>
      </c>
      <c r="I475" s="369">
        <f>$AF$33+$AG$33+$AH$33</f>
        <v>28</v>
      </c>
      <c r="J475" s="126">
        <f t="shared" si="57"/>
        <v>28</v>
      </c>
      <c r="K475" s="311">
        <f>$AI$33</f>
        <v>0</v>
      </c>
      <c r="L475" s="370">
        <f>$AK$33</f>
        <v>47</v>
      </c>
      <c r="N475" s="370">
        <f t="shared" si="58"/>
        <v>75</v>
      </c>
      <c r="O475" s="397" t="b">
        <f t="shared" si="59"/>
        <v>1</v>
      </c>
      <c r="P475" s="405">
        <f t="shared" si="45"/>
        <v>25</v>
      </c>
      <c r="AX475" s="124" t="str">
        <f>$Z$36</f>
        <v>L420.19.03.D6</v>
      </c>
      <c r="AY475" s="259">
        <v>6</v>
      </c>
      <c r="AZ475" s="259" t="str">
        <f>IF(COUNTIFS($Z$34,"&lt;&gt;"&amp;"",$Z$34,"&lt;&gt;practic?*",$Z$34,"&lt;&gt;*op?ional*",$Z$34,"&lt;&gt;*Disciplin? facultativ?*", $Z$34,"&lt;&gt;*Examen de diplom?*"),$Z$34,"")</f>
        <v>Ştiinţa materialelor II</v>
      </c>
      <c r="BA475" s="259">
        <f t="shared" si="43"/>
        <v>2</v>
      </c>
      <c r="BB475" s="259" t="str">
        <f t="shared" si="44"/>
        <v>3</v>
      </c>
      <c r="BC475" s="259" t="str">
        <f>IF($AZ475="","",$AD$36)</f>
        <v>E</v>
      </c>
      <c r="BD475" s="259" t="str">
        <f t="shared" si="60"/>
        <v>DI</v>
      </c>
      <c r="BE475" s="126">
        <f t="shared" si="46"/>
        <v>0</v>
      </c>
      <c r="BF475" s="126">
        <f t="shared" si="47"/>
        <v>1</v>
      </c>
      <c r="BG475" s="126">
        <f t="shared" si="48"/>
        <v>1</v>
      </c>
      <c r="BH475" s="259">
        <f>IF(COUNTIFS($Z$34,"&lt;&gt;"&amp;"",$Z$34,"&lt;&gt;practic?*",$Z$34,"&lt;&gt;*Elaborare proiect de diplom?*",$Z$34,"&lt;&gt;*op?ional*",$Z$34,"&lt;&gt;*Disciplin? facultativ?*", $Z$34,"&lt;&gt;*Examen de diplom?*"),$AE$36,"")</f>
        <v>0</v>
      </c>
      <c r="BI475" s="259">
        <f>IF(COUNTIFS($Z$34,"&lt;&gt;"&amp;"",$Z$34,"&lt;&gt;practic?*",$Z$34,"&lt;&gt;*Elaborare proiect de diplom?*",$Z$34,"&lt;&gt;*op?ional*",$Z$34,"&lt;&gt;*Disciplin? facultativ?*", $Z$34,"&lt;&gt;*Examen de diplom?*"),($AF$36+$AG$36+$AH$36),"")</f>
        <v>14</v>
      </c>
      <c r="BJ475" s="126">
        <f t="shared" si="49"/>
        <v>14</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6.1</v>
      </c>
      <c r="BR475" s="259">
        <f>IF(COUNTIFS($Z$34,"&lt;&gt;"&amp;"",$Z$34,"&lt;&gt;practic?*",$Z$34,"&lt;&gt;*op?ional*",$Z$34,"&lt;&gt;*Disciplin? facultativ?*", $Z$34,"&lt;&gt;*Examen de diplom?*"),IF($AK$36&lt;&gt;"",$AK$36,""),"")</f>
        <v>86</v>
      </c>
      <c r="BS475" s="259">
        <f>IF($AZ475="","",$AC$36)</f>
        <v>4</v>
      </c>
      <c r="BT475" s="169" t="str">
        <f>IF(COUNTIFS($Z$34,"&lt;&gt;"&amp;"",$Z$34,"&lt;&gt;practic?*",$Z$34,"&lt;&gt;*op?ional*",$Z$34,"&lt;&gt;*Disciplin? facultativ?*",$Z$34,"&lt;&gt;*Examen de diplom?*"),$AJ$36,"")</f>
        <v>DD</v>
      </c>
      <c r="BU475" s="126">
        <f t="shared" si="61"/>
        <v>7.1</v>
      </c>
      <c r="BV475" s="127">
        <f t="shared" si="55"/>
        <v>100</v>
      </c>
      <c r="BW475" s="420"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0</v>
      </c>
      <c r="I476" s="369">
        <f>$AF$36+$AG$36+$AH$36</f>
        <v>14</v>
      </c>
      <c r="J476" s="126">
        <f t="shared" si="57"/>
        <v>14</v>
      </c>
      <c r="K476" s="311">
        <f>$AI$36</f>
        <v>0</v>
      </c>
      <c r="L476" s="370">
        <f>$AK$36</f>
        <v>86</v>
      </c>
      <c r="N476" s="370">
        <f t="shared" si="58"/>
        <v>100</v>
      </c>
      <c r="O476" s="397" t="b">
        <f t="shared" si="59"/>
        <v>1</v>
      </c>
      <c r="P476" s="405">
        <f t="shared" si="45"/>
        <v>25</v>
      </c>
      <c r="AX476" s="124" t="str">
        <f>$Z$39</f>
        <v>L420.19.03.D7</v>
      </c>
      <c r="AY476" s="127">
        <v>7</v>
      </c>
      <c r="AZ476" s="259" t="str">
        <f>IF(COUNTIFS($Z$37,"&lt;&gt;"&amp;"",$Z$37,"&lt;&gt;practic?*",$Z$37,"&lt;&gt;*op?ional*",$Z$37,"&lt;&gt;*Disciplin? facultativ?*",$Z$37,"&lt;&gt;*Examen de diplom?*"),$Z$37,"")</f>
        <v>Termotehnica</v>
      </c>
      <c r="BA476" s="259">
        <f t="shared" si="43"/>
        <v>2</v>
      </c>
      <c r="BB476" s="127" t="str">
        <f t="shared" si="44"/>
        <v>3</v>
      </c>
      <c r="BC476" s="259" t="str">
        <f>IF($AZ476="","",$AD$39)</f>
        <v>E</v>
      </c>
      <c r="BD476" s="127" t="str">
        <f t="shared" si="60"/>
        <v>DI</v>
      </c>
      <c r="BE476" s="126">
        <f t="shared" si="46"/>
        <v>0</v>
      </c>
      <c r="BF476" s="126">
        <f t="shared" si="47"/>
        <v>2</v>
      </c>
      <c r="BG476" s="126">
        <f t="shared" si="48"/>
        <v>2</v>
      </c>
      <c r="BH476" s="259">
        <f>IF(COUNTIFS($Z$37,"&lt;&gt;"&amp;"",$Z$37,"&lt;&gt;practic?*",$Z$37,"&lt;&gt;*Elaborare proiect de diplom?*",$Z$37,"&lt;&gt;*op?ional*",$Z$37,"&lt;&gt;*Disciplin? facultativ?*", $Z$37,"&lt;&gt;*Examen de diplom?*"),$AE$39,"")</f>
        <v>0</v>
      </c>
      <c r="BI476" s="259">
        <f>IF(COUNTIFS($Z$37,"&lt;&gt;"&amp;"",$Z$37,"&lt;&gt;practic?*",$Z$37,"&lt;&gt;*Elaborare proiect de diplom?*",$Z$37,"&lt;&gt;*op?ional*",$Z$37,"&lt;&gt;*Disciplin? facultativ?*", $Z$37,"&lt;&gt;*Examen de diplom?*"),($AF$39+$AG$39+$AH$39),"")</f>
        <v>28</v>
      </c>
      <c r="BJ476" s="126">
        <f t="shared" si="49"/>
        <v>28</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5.0999999999999996</v>
      </c>
      <c r="BR476" s="259">
        <f>IF(COUNTIFS($Z$37,"&lt;&gt;"&amp;"",$Z$37,"&lt;&gt;practic?*",$Z$37,"&lt;&gt;*op?ional*",$Z$37,"&lt;&gt;*Disciplin? facultativ?*", $Z$37,"&lt;&gt;*Examen de diplom?*"),IF($AK$39&lt;&gt;"",$AK$39,""),"")</f>
        <v>72</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0</v>
      </c>
      <c r="I477" s="369">
        <f>$AF$39+$AG$39+$AH$39</f>
        <v>28</v>
      </c>
      <c r="J477" s="126">
        <f t="shared" si="57"/>
        <v>28</v>
      </c>
      <c r="K477" s="311">
        <f>$AI$39</f>
        <v>0</v>
      </c>
      <c r="L477" s="127">
        <f>$AK$39</f>
        <v>72</v>
      </c>
      <c r="N477" s="370">
        <f t="shared" si="58"/>
        <v>100</v>
      </c>
      <c r="O477" s="397" t="b">
        <f t="shared" si="59"/>
        <v>1</v>
      </c>
      <c r="P477" s="405">
        <f t="shared" si="45"/>
        <v>25</v>
      </c>
      <c r="AX477" s="124" t="str">
        <f>$Z$42</f>
        <v>L420.19.03.C8</v>
      </c>
      <c r="AY477" s="259">
        <v>8</v>
      </c>
      <c r="AZ477" s="259" t="str">
        <f>IF(COUNTIFS($Z$40,"&lt;&gt;"&amp;"",$Z$40,"&lt;&gt;practic?*",$Z$40,"&lt;&gt;*op?ional*",$Z$40,"&lt;&gt;*Disciplin? facultativ?*", $Z$40,"&lt;&gt;*Examen de diplom?*"),$Z$40,"")</f>
        <v>Educaţie fizică III</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L420.19.03.11-ij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L420.19.04.D1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0</v>
      </c>
      <c r="BF482" s="126">
        <f>IF($AZ482&lt;&gt;"",ROUND(BI482/14,1),"")</f>
        <v>1</v>
      </c>
      <c r="BG482" s="126">
        <f>IF($AZ482&lt;&gt;"",BE482+BF482,"")</f>
        <v>1</v>
      </c>
      <c r="BH482" s="127">
        <f>IF(COUNTIFS($AL$19,"&lt;&gt;"&amp;"",$AL$19,"&lt;&gt;practic?*",$AL$19,"&lt;&gt;*Elaborare proiect de diplom?*",$AL$19,"&lt;&gt;*op?ional*",$AL$19,"&lt;&gt;*Disciplin? facultativ?*", $AL$19,"&lt;&gt;*Examen de diplom?*"),$AQ$21,"")</f>
        <v>0</v>
      </c>
      <c r="BI482" s="127">
        <f>IF(COUNTIFS($AL$19,"&lt;&gt;"&amp;"",$AL$19,"&lt;&gt;practic?*",$AL$19,"&lt;&gt;*Elaborare proiect de diplom?*",$AL$19,"&lt;&gt;*op?ional*",$AL$19,"&lt;&gt;*Disciplin? facultativ?*", $AL$19,"&lt;&gt;*Examen de diplom?*"),($AR$21+$AS$21+$AT$21),"")</f>
        <v>14</v>
      </c>
      <c r="BJ482" s="126">
        <f>IF($AZ482&lt;&gt;"",BH482+BI482,"")</f>
        <v>14</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2.6</v>
      </c>
      <c r="BR482" s="127">
        <f>IF(COUNTIFS($AL$19,"&lt;&gt;"&amp;"",$AL$19,"&lt;&gt;practic?*",$AL$19,"&lt;&gt;*op?ional*",$AL$19,"&lt;&gt;*Disciplin? facultativ?*", $AL$19,"&lt;&gt;*Examen de diplom?*"),IF($AW$21&lt;&gt;"",$AW$21,""),"")</f>
        <v>36</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20"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2</v>
      </c>
      <c r="H483" s="127">
        <f>AQ$21</f>
        <v>0</v>
      </c>
      <c r="I483" s="127">
        <f>$AR$21+$AS$21+$AT$21</f>
        <v>14</v>
      </c>
      <c r="J483" s="126">
        <f>H483+I483</f>
        <v>14</v>
      </c>
      <c r="K483" s="311">
        <f>$AU$21</f>
        <v>0</v>
      </c>
      <c r="L483" s="127">
        <f>$AW$21</f>
        <v>36</v>
      </c>
      <c r="N483" s="419">
        <f>IF(ISNUMBER(L483+K483+J483), L483+K483+J483,0)</f>
        <v>50</v>
      </c>
      <c r="O483" s="397" t="b">
        <f>IF(D483=0,TRUE, IF(N483/25=F483,TRUE,FALSE))</f>
        <v>1</v>
      </c>
      <c r="P483" s="405">
        <f t="shared" si="45"/>
        <v>25</v>
      </c>
      <c r="AX483" s="124" t="str">
        <f>$AL$24</f>
        <v>L420.19.04.C2</v>
      </c>
      <c r="AY483" s="265">
        <v>2</v>
      </c>
      <c r="AZ483" s="265" t="str">
        <f>IF(COUNTIFS($AL$22,"&lt;&gt;"&amp;"",$AL$22,"&lt;&gt;practic?*",$AL$22,"&lt;&gt;*op?ional*",$AL$22,"&lt;&gt;*Disciplin? facultativ?*", $AL$22,"&lt;&gt;*Examen de diplom?*"),$AL$22,"")</f>
        <v>Microeconomie</v>
      </c>
      <c r="BA483" s="265">
        <f t="shared" si="62"/>
        <v>2</v>
      </c>
      <c r="BB483" s="265" t="str">
        <f t="shared" si="63"/>
        <v>4</v>
      </c>
      <c r="BC483" s="266" t="str">
        <f>IF($AZ483="","",$AP$24)</f>
        <v>D</v>
      </c>
      <c r="BD483" s="267" t="str">
        <f>IF($AZ483="","","DI")</f>
        <v>DI</v>
      </c>
      <c r="BE483" s="126">
        <f t="shared" ref="BE483:BE492" si="64">IF($AZ483&lt;&gt;"",ROUND(BH483/14,1),"")</f>
        <v>0</v>
      </c>
      <c r="BF483" s="126">
        <f t="shared" ref="BF483:BF492" si="65">IF($AZ483&lt;&gt;"",ROUND(BI483/14,1),"")</f>
        <v>2</v>
      </c>
      <c r="BG483" s="126">
        <f t="shared" ref="BG483:BG492" si="66">IF($AZ483&lt;&gt;"",BE483+BF483,"")</f>
        <v>2</v>
      </c>
      <c r="BH483" s="267">
        <f>IF(COUNTIFS($AL$22,"&lt;&gt;"&amp;"",$AL$22,"&lt;&gt;practic?*",$AL$22,"&lt;&gt;*Elaborare proiect de diplom?*",$AL$22,"&lt;&gt;*op?ional*",$AL$22,"&lt;&gt;*Disciplin? facultativ?*", $AL$22,"&lt;&gt;*Examen de diplom?*"),$AQ$24,"")</f>
        <v>0</v>
      </c>
      <c r="BI483" s="267">
        <f>IF(COUNTIFS($AL$22,"&lt;&gt;"&amp;"",$AL$22,"&lt;&gt;practic?*",$AL$22,"&lt;&gt;*Elaborare proiect de diplom?*",$AL$22,"&lt;&gt;*op?ional*",$AL$22,"&lt;&gt;*Disciplin? facultativ?*", $AL$22,"&lt;&gt;*Examen de diplom?*"),($AR$24+$AS$24+$AT$24),"")</f>
        <v>28</v>
      </c>
      <c r="BJ483" s="126">
        <f t="shared" ref="BJ483:BJ492" si="67">IF($AZ483&lt;&gt;"",BH483+BI483,"")</f>
        <v>28</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5.0999999999999996</v>
      </c>
      <c r="BR483" s="267">
        <f>IF(COUNTIFS($AL$22,"&lt;&gt;"&amp;"",$AL$22,"&lt;&gt;practic?*",$AL$22,"&lt;&gt;*op?ional*",$AL$22,"&lt;&gt;*Disciplin? facultativ?*", $AL$22,"&lt;&gt;*Examen de diplom?*"),IF($AW$24&lt;&gt;"",$AW$24,""),"")</f>
        <v>72</v>
      </c>
      <c r="BS483" s="267">
        <f>IF($AZ483="","",$AO$24)</f>
        <v>4</v>
      </c>
      <c r="BT483" s="267"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20"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4</v>
      </c>
      <c r="H484" s="370">
        <f>AQ$24</f>
        <v>0</v>
      </c>
      <c r="I484" s="369">
        <f>$AR$24+$AS$24+$AT$24</f>
        <v>28</v>
      </c>
      <c r="J484" s="126">
        <f t="shared" ref="J484:J493" si="75">H484+I484</f>
        <v>28</v>
      </c>
      <c r="K484" s="311">
        <f>$AU$24</f>
        <v>0</v>
      </c>
      <c r="L484" s="370">
        <f>$AW$24</f>
        <v>72</v>
      </c>
      <c r="N484" s="419">
        <f t="shared" ref="N484:N493" si="76">IF(ISNUMBER(L484+K484+J484), L484+K484+J484,0)</f>
        <v>100</v>
      </c>
      <c r="O484" s="397" t="b">
        <f t="shared" ref="O484:O493" si="77">IF(D484=0,TRUE, IF(N484/25=F484,TRUE,FALSE))</f>
        <v>1</v>
      </c>
      <c r="P484" s="405">
        <f t="shared" si="45"/>
        <v>25</v>
      </c>
      <c r="AX484" s="124" t="str">
        <f>$AL$27</f>
        <v>L420.19.04.D3</v>
      </c>
      <c r="AY484" s="265">
        <v>3</v>
      </c>
      <c r="AZ484" s="265" t="str">
        <f>IF(COUNTIFS($AL$25,"&lt;&gt;"&amp;"",$AL$25,"&lt;&gt;practic?*",$AL$25,"&lt;&gt;*op?ional*",$AL$25,"&lt;&gt;*Disciplin? facultativ?*", $AL$25,"&lt;&gt;*Examen de diplom?*"),$AL$25,"")</f>
        <v>Rezistenţa materialelor II</v>
      </c>
      <c r="BA484" s="265">
        <f t="shared" si="62"/>
        <v>2</v>
      </c>
      <c r="BB484" s="265" t="str">
        <f t="shared" si="63"/>
        <v>4</v>
      </c>
      <c r="BC484" s="266" t="str">
        <f>IF($AZ484="","",$AP$27)</f>
        <v>E</v>
      </c>
      <c r="BD484" s="127" t="str">
        <f t="shared" ref="BD484:BD492" si="78">IF($AZ484="","","DI")</f>
        <v>DI</v>
      </c>
      <c r="BE484" s="126">
        <f t="shared" si="64"/>
        <v>0</v>
      </c>
      <c r="BF484" s="126">
        <f t="shared" si="65"/>
        <v>3</v>
      </c>
      <c r="BG484" s="126">
        <f t="shared" si="66"/>
        <v>3</v>
      </c>
      <c r="BH484" s="267">
        <f>IF(COUNTIFS($AL$25,"&lt;&gt;"&amp;"",$AL$25,"&lt;&gt;practic?*",$AL$25,"&lt;&gt;*Elaborare proiect de diplom?*",$AL$25,"&lt;&gt;*op?ional*",$AL$25,"&lt;&gt;*Disciplin? facultativ?*", $AL$25,"&lt;&gt;*Examen de diplom?*"),$AQ$27,"")</f>
        <v>0</v>
      </c>
      <c r="BI484" s="267">
        <f>IF(COUNTIFS($AL$25,"&lt;&gt;"&amp;"",$AL$25,"&lt;&gt;practic?*",$AL$25,"&lt;&gt;*Elaborare proiect de diplom?*",$AL$25,"&lt;&gt;*op?ional*",$AL$25,"&lt;&gt;*Disciplin? facultativ?*", $AL$25,"&lt;&gt;*Examen de diplom?*"),($AR$27+$AS$27+$AT$27),"")</f>
        <v>42</v>
      </c>
      <c r="BJ484" s="126">
        <f t="shared" si="67"/>
        <v>42</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5.9</v>
      </c>
      <c r="BR484" s="267">
        <f>IF(COUNTIFS($AL$25,"&lt;&gt;"&amp;"",$AL$25,"&lt;&gt;practic?*",$AL$25,"&lt;&gt;*op?ional*",$AL$25,"&lt;&gt;*Disciplin? facultativ?*", $AL$25,"&lt;&gt;*Examen de diplom?*"),IF($AW$27&lt;&gt;"",$AW$27,""),"")</f>
        <v>83</v>
      </c>
      <c r="BS484" s="267">
        <f>IF($AZ484="","",$AO$27)</f>
        <v>5</v>
      </c>
      <c r="BT484" s="267" t="str">
        <f>IF(COUNTIFS($AL$25,"&lt;&gt;"&amp;"",$AL$25,"&lt;&gt;practic?*",$AL$25,"&lt;&gt;*op?ional*",$AL$25,"&lt;&gt;*Disciplin? facultativ?*", $AL$25,"&lt;&gt;*Examen de diplom?*"),$AV$27,"")</f>
        <v>DD</v>
      </c>
      <c r="BU484" s="126">
        <f t="shared" ref="BU484:BU492" si="79">IF($AZ484="","",IF($BG484&lt;&gt;"",$BG484,0)+IF($BM484&lt;&gt;"",$BM484,0)+IF($BQ484&lt;&gt;"",$BQ484,0))</f>
        <v>8.9</v>
      </c>
      <c r="BV484" s="127">
        <f t="shared" si="73"/>
        <v>125</v>
      </c>
      <c r="BW484" s="420"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5</v>
      </c>
      <c r="H485" s="370">
        <f>AQ$27</f>
        <v>0</v>
      </c>
      <c r="I485" s="369">
        <f>$AR$27+$AS$27+$AT$27</f>
        <v>42</v>
      </c>
      <c r="J485" s="126">
        <f t="shared" si="75"/>
        <v>42</v>
      </c>
      <c r="K485" s="311">
        <f>$AU$27</f>
        <v>0</v>
      </c>
      <c r="L485" s="370">
        <f>$AW$27</f>
        <v>83</v>
      </c>
      <c r="N485" s="419">
        <f t="shared" si="76"/>
        <v>125</v>
      </c>
      <c r="O485" s="397" t="b">
        <f t="shared" si="77"/>
        <v>1</v>
      </c>
      <c r="P485" s="405">
        <f t="shared" si="45"/>
        <v>25</v>
      </c>
      <c r="AX485" s="124" t="str">
        <f>$AL$30</f>
        <v>L420.19.04.D4</v>
      </c>
      <c r="AY485" s="127">
        <v>4</v>
      </c>
      <c r="AZ485" s="265" t="str">
        <f>IF(COUNTIFS($AL$28,"&lt;&gt;"&amp;"",$AL$28,"&lt;&gt;practic?*",$AL$28,"&lt;&gt;*op?ional*",$AL$28,"&lt;&gt;*Disciplin? facultativ?*", $AL$28,"&lt;&gt;*Examen de diplom?*"),$AL$28,"")</f>
        <v>Măsurări</v>
      </c>
      <c r="BA485" s="265">
        <f t="shared" si="62"/>
        <v>2</v>
      </c>
      <c r="BB485" s="265" t="str">
        <f t="shared" si="63"/>
        <v>4</v>
      </c>
      <c r="BC485" s="266" t="str">
        <f>IF($AZ485="","",$AP$30)</f>
        <v>D</v>
      </c>
      <c r="BD485" s="267" t="str">
        <f t="shared" si="78"/>
        <v>DI</v>
      </c>
      <c r="BE485" s="126">
        <f t="shared" si="64"/>
        <v>0</v>
      </c>
      <c r="BF485" s="126">
        <f t="shared" si="65"/>
        <v>1</v>
      </c>
      <c r="BG485" s="126">
        <f t="shared" si="66"/>
        <v>1</v>
      </c>
      <c r="BH485" s="267">
        <f>IF(COUNTIFS($AL$28,"&lt;&gt;"&amp;"",$AL$28,"&lt;&gt;practic?*",$AL$28,"&lt;&gt;*Elaborare proiect de diplom?*",$AL$28,"&lt;&gt;*op?ional*",$AL$28,"&lt;&gt;*Disciplin? facultativ?*", $AL$28,"&lt;&gt;*Examen de diplom?*"),$AQ$30,"")</f>
        <v>0</v>
      </c>
      <c r="BI485" s="267">
        <f>IF(COUNTIFS($AL$28,"&lt;&gt;"&amp;"",$AL$28,"&lt;&gt;practic?*",$AL$28,"&lt;&gt;*Elaborare proiect de diplom?*",$AL$28,"&lt;&gt;*op?ional*",$AL$28,"&lt;&gt;*Disciplin? facultativ?*", $AL$28,"&lt;&gt;*Examen de diplom?*"),($AR$30+$AS$30+$AT$30),"")</f>
        <v>14</v>
      </c>
      <c r="BJ485" s="126">
        <f t="shared" si="67"/>
        <v>14</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4.4000000000000004</v>
      </c>
      <c r="BR485" s="267">
        <f>IF(COUNTIFS($AL$28,"&lt;&gt;"&amp;"",$AL$28,"&lt;&gt;practic?*",$AL$28,"&lt;&gt;*op?ional*",$AL$28,"&lt;&gt;*Disciplin? facultativ?*", $AL$28,"&lt;&gt;*Examen de diplom?*"),IF($AW$30&lt;&gt;"",$AW$30,""),"")</f>
        <v>61</v>
      </c>
      <c r="BS485" s="127">
        <f>IF($AZ485="","",$AO$30)</f>
        <v>3</v>
      </c>
      <c r="BT485" s="267" t="str">
        <f>IF(COUNTIFS($AL$28,"&lt;&gt;"&amp;"",$AL$28,"&lt;&gt;practic?*",$AL$28,"&lt;&gt;*op?ional*",$AL$28,"&lt;&gt;*Disciplin? facultativ?*", $AL$28,"&lt;&gt;*Examen de diplom?*"),$AV$30,"")</f>
        <v>DD</v>
      </c>
      <c r="BU485" s="126">
        <f t="shared" si="79"/>
        <v>5.4</v>
      </c>
      <c r="BV485" s="127">
        <f t="shared" si="73"/>
        <v>75</v>
      </c>
      <c r="BW485" s="420"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3</v>
      </c>
      <c r="H486" s="127">
        <f>AQ$30</f>
        <v>0</v>
      </c>
      <c r="I486" s="369">
        <f>$AR$30+$AS$30+$AT$30</f>
        <v>14</v>
      </c>
      <c r="J486" s="126">
        <f t="shared" si="75"/>
        <v>14</v>
      </c>
      <c r="K486" s="311">
        <f>$AU$30</f>
        <v>0</v>
      </c>
      <c r="L486" s="127">
        <f>$AW$30</f>
        <v>61</v>
      </c>
      <c r="N486" s="419">
        <f t="shared" si="76"/>
        <v>75</v>
      </c>
      <c r="O486" s="397" t="b">
        <f t="shared" si="77"/>
        <v>1</v>
      </c>
      <c r="P486" s="405">
        <f t="shared" si="45"/>
        <v>25</v>
      </c>
      <c r="AX486" s="124" t="str">
        <f>$AL$33</f>
        <v>L420.19.04.D5</v>
      </c>
      <c r="AY486" s="265">
        <v>5</v>
      </c>
      <c r="AZ486" s="265" t="str">
        <f>IF(COUNTIFS($AL$31,"&lt;&gt;"&amp;"",$AL$31,"&lt;&gt;practic?*",$AL$31,"&lt;&gt;*op?ional*",$AL$31,"&lt;&gt;*Disciplin? facultativ?*", $AL$31,"&lt;&gt;*Examen de diplom?*"),$AL$31,"")</f>
        <v>Bazele proceselor de asamblare</v>
      </c>
      <c r="BA486" s="265">
        <f t="shared" si="62"/>
        <v>2</v>
      </c>
      <c r="BB486" s="265" t="str">
        <f t="shared" si="63"/>
        <v>4</v>
      </c>
      <c r="BC486" s="266" t="str">
        <f>IF($AZ486="","",$AP$33)</f>
        <v>E</v>
      </c>
      <c r="BD486" s="127" t="str">
        <f t="shared" si="78"/>
        <v>DI</v>
      </c>
      <c r="BE486" s="126">
        <f t="shared" si="64"/>
        <v>0</v>
      </c>
      <c r="BF486" s="126">
        <f t="shared" si="65"/>
        <v>2</v>
      </c>
      <c r="BG486" s="126">
        <f t="shared" si="66"/>
        <v>2</v>
      </c>
      <c r="BH486" s="267">
        <f>IF(COUNTIFS($AL$31,"&lt;&gt;"&amp;"",$AL$31,"&lt;&gt;practic?*",$AL$31,"&lt;&gt;*Elaborare proiect de diplom?*",$AL$31,"&lt;&gt;*op?ional*",$AL$31,"&lt;&gt;*Disciplin? facultativ?*", $AL$31,"&lt;&gt;*Examen de diplom?*"),$AQ$33,"")</f>
        <v>0</v>
      </c>
      <c r="BI486" s="267">
        <f>IF(COUNTIFS($AL$31,"&lt;&gt;"&amp;"",$AL$31,"&lt;&gt;practic?*",$AL$31,"&lt;&gt;*Elaborare proiect de diplom?*",$AL$31,"&lt;&gt;*op?ional*",$AL$31,"&lt;&gt;*Disciplin? facultativ?*", $AL$31,"&lt;&gt;*Examen de diplom?*"),($AR$33+$AS$33+$AT$33),"")</f>
        <v>28</v>
      </c>
      <c r="BJ486" s="126">
        <f t="shared" si="67"/>
        <v>28</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6.9</v>
      </c>
      <c r="BR486" s="267">
        <f>IF(COUNTIFS($AL$31,"&lt;&gt;"&amp;"",$AL$31,"&lt;&gt;practic?*",$AL$31,"&lt;&gt;*op?ional*",$AL$31,"&lt;&gt;*Disciplin? facultativ?*", $AL$31,"&lt;&gt;*Examen de diplom?*"),IF($AW$33&lt;&gt;"",$AW$33,""),"")</f>
        <v>97</v>
      </c>
      <c r="BS486" s="267">
        <f>IF($AZ486="","",$AO$33)</f>
        <v>5</v>
      </c>
      <c r="BT486" s="267" t="str">
        <f>IF(COUNTIFS($AL$31,"&lt;&gt;"&amp;"",$AL$31,"&lt;&gt;practic?*",$AL$31,"&lt;&gt;*op?ional*",$AL$31,"&lt;&gt;*Disciplin? facultativ?*", $AL$31,"&lt;&gt;*Examen de diplom?*"),$AV$33,"")</f>
        <v>DD</v>
      </c>
      <c r="BU486" s="126">
        <f t="shared" si="79"/>
        <v>8.9</v>
      </c>
      <c r="BV486" s="127">
        <f t="shared" si="73"/>
        <v>125</v>
      </c>
      <c r="BW486" s="420"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5</v>
      </c>
      <c r="H487" s="370">
        <f>AQ$33</f>
        <v>0</v>
      </c>
      <c r="I487" s="369">
        <f>$AR$33+$AS$33+$AT$33</f>
        <v>28</v>
      </c>
      <c r="J487" s="126">
        <f t="shared" si="75"/>
        <v>28</v>
      </c>
      <c r="K487" s="311">
        <f>$AU$33</f>
        <v>0</v>
      </c>
      <c r="L487" s="370">
        <f>$AW$33</f>
        <v>97</v>
      </c>
      <c r="N487" s="419">
        <f t="shared" si="76"/>
        <v>125</v>
      </c>
      <c r="O487" s="397" t="b">
        <f t="shared" si="77"/>
        <v>1</v>
      </c>
      <c r="P487" s="405">
        <f t="shared" si="45"/>
        <v>25</v>
      </c>
      <c r="AX487" s="124" t="str">
        <f>$AL$36</f>
        <v>L420.19.04.D6</v>
      </c>
      <c r="AY487" s="265">
        <v>6</v>
      </c>
      <c r="AZ487" s="265" t="str">
        <f>IF(COUNTIFS($AL$34,"&lt;&gt;"&amp;"",$AL$34,"&lt;&gt;practic?*",$AL$34,"&lt;&gt;*op?ional*",$AL$34,"&lt;&gt;*Disciplin? facultativ?*", $AL$34,"&lt;&gt;*Examen de diplom?*"),$AL$34,"")</f>
        <v>Bazele procesării materialelor polimerice</v>
      </c>
      <c r="BA487" s="265">
        <f t="shared" si="62"/>
        <v>2</v>
      </c>
      <c r="BB487" s="265" t="str">
        <f t="shared" si="63"/>
        <v>4</v>
      </c>
      <c r="BC487" s="266" t="str">
        <f>IF($AZ487="","",$AP$36)</f>
        <v>E</v>
      </c>
      <c r="BD487" s="267" t="str">
        <f t="shared" si="78"/>
        <v>DI</v>
      </c>
      <c r="BE487" s="126">
        <f t="shared" si="64"/>
        <v>0</v>
      </c>
      <c r="BF487" s="126">
        <f t="shared" si="65"/>
        <v>1</v>
      </c>
      <c r="BG487" s="126">
        <f t="shared" si="66"/>
        <v>1</v>
      </c>
      <c r="BH487" s="267">
        <f>IF(COUNTIFS($AL$34,"&lt;&gt;"&amp;"",$AL$34,"&lt;&gt;practic?*",$AL$34,"&lt;&gt;*Elaborare proiect de diplom?*",$AL$34,"&lt;&gt;*op?ional*",$AL$34,"&lt;&gt;*Disciplin? facultativ?*", $AL$34,"&lt;&gt;*Examen de diplom?*"),$AQ$36,"")</f>
        <v>0</v>
      </c>
      <c r="BI487" s="267">
        <f>IF(COUNTIFS($AL$34,"&lt;&gt;"&amp;"",$AL$34,"&lt;&gt;practic?*",$AL$34,"&lt;&gt;*Elaborare proiect de diplom?*",$AL$34,"&lt;&gt;*op?ional*",$AL$34,"&lt;&gt;*Disciplin? facultativ?*", $AL$34,"&lt;&gt;*Examen de diplom?*"),($AR$36+$AS$36+$AT$36),"")</f>
        <v>14</v>
      </c>
      <c r="BJ487" s="126">
        <f t="shared" si="67"/>
        <v>14</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7.9</v>
      </c>
      <c r="BR487" s="267">
        <f>IF(COUNTIFS($AL$34,"&lt;&gt;"&amp;"",$AL$34,"&lt;&gt;practic?*",$AL$34,"&lt;&gt;*op?ional*",$AL$34,"&lt;&gt;*Disciplin? facultativ?*", $AL$34,"&lt;&gt;*Examen de diplom?*"),IF($AW$36&lt;&gt;"",$AW$36,""),"")</f>
        <v>111</v>
      </c>
      <c r="BS487" s="267">
        <f>IF($AZ487="","",$AO$36)</f>
        <v>5</v>
      </c>
      <c r="BT487" s="267" t="str">
        <f>IF(COUNTIFS($AL$34,"&lt;&gt;"&amp;"",$AL$34,"&lt;&gt;practic?*",$AL$34,"&lt;&gt;*op?ional*",$AL$34,"&lt;&gt;*Disciplin? facultativ?*", $AL$34,"&lt;&gt;*Examen de diplom?*"),$AV$36,"")</f>
        <v>DD</v>
      </c>
      <c r="BU487" s="126">
        <f t="shared" si="79"/>
        <v>8.9</v>
      </c>
      <c r="BV487" s="127">
        <f t="shared" si="73"/>
        <v>125</v>
      </c>
      <c r="BW487" s="420"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5</v>
      </c>
      <c r="H488" s="370">
        <f>AQ$36</f>
        <v>0</v>
      </c>
      <c r="I488" s="369">
        <f>$AR$36+$AS$36+$AT$36</f>
        <v>14</v>
      </c>
      <c r="J488" s="126">
        <f t="shared" si="75"/>
        <v>14</v>
      </c>
      <c r="K488" s="311">
        <f>$AU$36</f>
        <v>0</v>
      </c>
      <c r="L488" s="370">
        <f>$AW$36</f>
        <v>111</v>
      </c>
      <c r="N488" s="419">
        <f t="shared" si="76"/>
        <v>125</v>
      </c>
      <c r="O488" s="397" t="b">
        <f t="shared" si="77"/>
        <v>1</v>
      </c>
      <c r="P488" s="405">
        <f t="shared" si="45"/>
        <v>25</v>
      </c>
      <c r="AX488" s="124" t="str">
        <f>$AL$39</f>
        <v>L420.19.04.D7</v>
      </c>
      <c r="AY488" s="127">
        <v>7</v>
      </c>
      <c r="AZ488" s="265" t="str">
        <f>IF(COUNTIFS($AL$37,"&lt;&gt;"&amp;"",$AL$37,"&lt;&gt;practic?*",$AL$37,"&lt;&gt;*op?ional*",$AL$37,"&lt;&gt;*Disciplin? facultativ?*",$AL$37,"&lt;&gt;*Examen de diplom?*"),$AL$37,"")</f>
        <v xml:space="preserve">Mecanisme </v>
      </c>
      <c r="BA488" s="265">
        <f t="shared" si="62"/>
        <v>2</v>
      </c>
      <c r="BB488" s="127" t="str">
        <f t="shared" si="63"/>
        <v>4</v>
      </c>
      <c r="BC488" s="266" t="str">
        <f>IF($AZ488="","",$AP$39)</f>
        <v>E</v>
      </c>
      <c r="BD488" s="127" t="str">
        <f t="shared" si="78"/>
        <v>DI</v>
      </c>
      <c r="BE488" s="126">
        <f t="shared" si="64"/>
        <v>0</v>
      </c>
      <c r="BF488" s="126">
        <f t="shared" si="65"/>
        <v>2</v>
      </c>
      <c r="BG488" s="126">
        <f t="shared" si="66"/>
        <v>2</v>
      </c>
      <c r="BH488" s="267">
        <f>IF(COUNTIFS($AL$37,"&lt;&gt;"&amp;"",$AL$37,"&lt;&gt;practic?*",$AL$37,"&lt;&gt;*Elaborare proiect de diplom?*",$AL$37,"&lt;&gt;*op?ional*",$AL$37,"&lt;&gt;*Disciplin? facultativ?*", $AL$37,"&lt;&gt;*Examen de diplom?*"),$AQ$39,"")</f>
        <v>0</v>
      </c>
      <c r="BI488" s="267">
        <f>IF(COUNTIFS($AL$37,"&lt;&gt;"&amp;"",$AL$37,"&lt;&gt;practic?*",$AL$37,"&lt;&gt;*Elaborare proiect de diplom?*",$AL$37,"&lt;&gt;*op?ional*",$AL$37,"&lt;&gt;*Disciplin? facultativ?*", $AL$37,"&lt;&gt;*Examen de diplom?*"),($AR$39+$AS$39+$AT$39),"")</f>
        <v>28</v>
      </c>
      <c r="BJ488" s="126">
        <f t="shared" si="67"/>
        <v>28</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3.4</v>
      </c>
      <c r="BR488" s="267">
        <f>IF(COUNTIFS($AL$37,"&lt;&gt;"&amp;"",$AL$37,"&lt;&gt;practic?*",$AL$37,"&lt;&gt;*op?ional*",$AL$37,"&lt;&gt;*Disciplin? facultativ?*", $AL$37,"&lt;&gt;*Examen de diplom?*"),IF($AW$39&lt;&gt;"",$AW$39,""),"")</f>
        <v>47</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0</v>
      </c>
      <c r="I489" s="369">
        <f>$AR$39+$AS$39+$AT$39</f>
        <v>28</v>
      </c>
      <c r="J489" s="126">
        <f t="shared" si="75"/>
        <v>28</v>
      </c>
      <c r="K489" s="311">
        <f>$AU$39</f>
        <v>0</v>
      </c>
      <c r="L489" s="127">
        <f>$AW$39</f>
        <v>47</v>
      </c>
      <c r="N489" s="419">
        <f t="shared" si="76"/>
        <v>75</v>
      </c>
      <c r="O489" s="397" t="b">
        <f t="shared" si="77"/>
        <v>1</v>
      </c>
      <c r="P489" s="405">
        <f t="shared" si="45"/>
        <v>25</v>
      </c>
      <c r="AX489" s="124" t="str">
        <f>$AL$42</f>
        <v>L420.19.04.C8</v>
      </c>
      <c r="AY489" s="265">
        <v>8</v>
      </c>
      <c r="AZ489" s="265" t="str">
        <f>IF(COUNTIFS($AL$40,"&lt;&gt;"&amp;"",$AL$40,"&lt;&gt;practic?*",$AL$40,"&lt;&gt;*op?ional*",$AL$40,"&lt;&gt;*Disciplin? facultativ?*", $AL$40,"&lt;&gt;*Examen de diplom?*"),$AL$40,"")</f>
        <v>Educaţie fizică IV</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0.8</v>
      </c>
      <c r="BR489" s="267">
        <f>IF(COUNTIFS($AL$40,"&lt;&gt;"&amp;"",$AL$40,"&lt;&gt;practic?*",$AL$40,"&lt;&gt;*op?ional*",$AL$40,"&lt;&gt;*Disciplin? facultativ?*", $AL$40,"&lt;&gt;*Examen de diplom?*"),IF($AW$42&lt;&gt;"",$AW$42,""),"")</f>
        <v>11</v>
      </c>
      <c r="BS489" s="267">
        <f>IF($AZ489="","",$AO$42)</f>
        <v>1</v>
      </c>
      <c r="BT489" s="267" t="str">
        <f>IF(COUNTIFS($AL$40,"&lt;&gt;"&amp;"",$AL$40,"&lt;&gt;practic?*",$AL$40,"&lt;&gt;*op?ional*",$AL$40,"&lt;&gt;*Disciplin? facultativ?*", $AL$40,"&lt;&gt;*Examen de diplom?*"),$AV$42,"")</f>
        <v>DC</v>
      </c>
      <c r="BU489" s="126">
        <f t="shared" si="79"/>
        <v>1.8</v>
      </c>
      <c r="BV489" s="127">
        <f t="shared" si="73"/>
        <v>25</v>
      </c>
      <c r="BW489" s="420"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1</v>
      </c>
      <c r="H490" s="370">
        <f>AQ$42</f>
        <v>0</v>
      </c>
      <c r="I490" s="369">
        <f>$AR$42+$AS$42+$AT$42</f>
        <v>14</v>
      </c>
      <c r="J490" s="126">
        <f t="shared" si="75"/>
        <v>14</v>
      </c>
      <c r="K490" s="311">
        <f>$AU$42</f>
        <v>0</v>
      </c>
      <c r="L490" s="370">
        <f>$AW$42</f>
        <v>11</v>
      </c>
      <c r="N490" s="419">
        <f t="shared" si="76"/>
        <v>25</v>
      </c>
      <c r="O490" s="397" t="b">
        <f t="shared" si="77"/>
        <v>1</v>
      </c>
      <c r="P490" s="422">
        <f t="shared" si="45"/>
        <v>25</v>
      </c>
      <c r="AX490" s="124" t="str">
        <f>$AL$45</f>
        <v>L420.19.04.D9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2</v>
      </c>
      <c r="H491" s="370">
        <f>AQ$45</f>
        <v>0</v>
      </c>
      <c r="I491" s="369">
        <f>$AR$45+$AS$45+$AT$45</f>
        <v>0</v>
      </c>
      <c r="J491" s="126">
        <f t="shared" si="75"/>
        <v>0</v>
      </c>
      <c r="K491" s="311">
        <f>$AU$45</f>
        <v>40</v>
      </c>
      <c r="L491" s="370">
        <f>$AW$45</f>
        <v>10</v>
      </c>
      <c r="N491" s="419">
        <f t="shared" si="76"/>
        <v>50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L420.19.04.11-ij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28</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L420.19.05.C1</v>
      </c>
      <c r="AY495" s="127">
        <v>1</v>
      </c>
      <c r="AZ495" s="127" t="str">
        <f>IF(COUNTIFS($B$71,"&lt;&gt;"&amp;"",$B$71,"&lt;&gt;practic?*",$B$71,"&lt;&gt;*op?ional*",$B$71,"&lt;&gt;*Disciplin? facultativ?*", $B$71,"&lt;&gt;*Examen de diplom?*"),$B$71,"")</f>
        <v>Management</v>
      </c>
      <c r="BA495" s="127">
        <f t="shared" ref="BA495:BA505" si="80">IF($AZ495="","",ROUND(RIGHT($B$70,1)/2,0))</f>
        <v>3</v>
      </c>
      <c r="BB495" s="127" t="str">
        <f t="shared" ref="BB495:BB505" si="81">IF($AZ495="","",RIGHT($B$70,1))</f>
        <v>5</v>
      </c>
      <c r="BC495" s="127" t="str">
        <f>IF($AZ495="","",$F$73)</f>
        <v>D</v>
      </c>
      <c r="BD495" s="127" t="str">
        <f>IF($AZ495="","","DI")</f>
        <v>DI</v>
      </c>
      <c r="BE495" s="126">
        <f>IF($AZ495&lt;&gt;"",ROUND(BH495/14,1),"")</f>
        <v>0</v>
      </c>
      <c r="BF495" s="126">
        <f>IF($AZ495&lt;&gt;"",ROUND(BI495/14,1),"")</f>
        <v>1</v>
      </c>
      <c r="BG495" s="126">
        <f>IF($AZ495&lt;&gt;"",BE495+BF495,"")</f>
        <v>1</v>
      </c>
      <c r="BH495" s="127">
        <f>IF(COUNTIFS($B$71,"&lt;&gt;"&amp;"",$B$71,"&lt;&gt;practic?*",$B$71,"&lt;&gt;*Elaborare proiect de diplom?*",$B$71,"&lt;&gt;*op?ional*",$B$71,"&lt;&gt;*Disciplin? facultativ?*", $B$71,"&lt;&gt;*Examen de diplom?*"),$G$73,"")</f>
        <v>0</v>
      </c>
      <c r="BI495" s="127">
        <f>IF(COUNTIFS($B$71,"&lt;&gt;"&amp;"",$B$71,"&lt;&gt;practic?*",$B$71,"&lt;&gt;*Elaborare proiect de diplom?*",$B$71,"&lt;&gt;*op?ional*",$B$71,"&lt;&gt;*Disciplin? facultativ?*", $B$71,"&lt;&gt;*Examen de diplom?*"),($H$73+$I$73+$J$73),"")</f>
        <v>14</v>
      </c>
      <c r="BJ495" s="126">
        <f>IF($AZ495&lt;&gt;"",BH495+BI495,"")</f>
        <v>14</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2.6</v>
      </c>
      <c r="BR495" s="127">
        <f>IF(COUNTIFS($B$71,"&lt;&gt;"&amp;"",$B$71,"&lt;&gt;practic?*",$B$71,"&lt;&gt;*op?ional*",$B$71,"&lt;&gt;*Disciplin? facultativ?*", $B$71,"&lt;&gt;*Examen de diplom?*"),IF($M$73&lt;&gt;"",ROUND($M$73,1),""),"")</f>
        <v>36</v>
      </c>
      <c r="BS495" s="127">
        <f>IF($AZ495="","",$E$73)</f>
        <v>2</v>
      </c>
      <c r="BT495" s="127" t="str">
        <f>IF(COUNTIFS($B$71,"&lt;&gt;"&amp;"",$B$71,"&lt;&gt;practic?*",$B$71,"&lt;&gt;*op?ional*",$B$71,"&lt;&gt;*Disciplin? facultativ?*", $B$71,"&lt;&gt;*Examen de diplom?*"),$L$73,"")</f>
        <v>DC</v>
      </c>
      <c r="BU495" s="126">
        <f>IF($AZ495="","",IF($BG495&lt;&gt;"",$BG495,0)+IF($BM495&lt;&gt;"",$BM495,0)+IF($BQ495&lt;&gt;"",$BQ495,0))</f>
        <v>3.6</v>
      </c>
      <c r="BV495" s="127">
        <f>IF($AZ495="","",IF($BJ495&lt;&gt;"",$BJ495,0)+IF($BP495&lt;&gt;"",$BP495,0)+IF($BR495&lt;&gt;"",$BR495,0))</f>
        <v>50</v>
      </c>
      <c r="BW495" s="420"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2</v>
      </c>
      <c r="H496" s="127">
        <f>$G$73</f>
        <v>0</v>
      </c>
      <c r="I496" s="127">
        <f>$H$73+$I$73+$J$73</f>
        <v>14</v>
      </c>
      <c r="J496" s="126">
        <f>H496+I496</f>
        <v>14</v>
      </c>
      <c r="K496" s="311">
        <f>$K$73</f>
        <v>0</v>
      </c>
      <c r="L496" s="127">
        <f>$M$73</f>
        <v>36</v>
      </c>
      <c r="N496" s="370">
        <f>IF(ISNUMBER(L496+K496+J496), L496+K496+J496,0)</f>
        <v>50</v>
      </c>
      <c r="O496" s="397" t="b">
        <f>IF(D496=0,TRUE, IF(N496/25=F496,TRUE,FALSE))</f>
        <v>1</v>
      </c>
      <c r="P496" s="422">
        <f t="shared" ref="P496:P518" si="82">N496/F496</f>
        <v>25</v>
      </c>
      <c r="AX496" s="124" t="str">
        <f>$B$76</f>
        <v>L420.19.05.D2</v>
      </c>
      <c r="AY496" s="268">
        <v>2</v>
      </c>
      <c r="AZ496" s="268" t="str">
        <f>IF(COUNTIFS($B$74,"&lt;&gt;"&amp;"",$B$74,"&lt;&gt;practic?*",$B$74,"&lt;&gt;*op?ional*",$B$74,"&lt;&gt;*Disciplin? facultativ?*", $B$74,"&lt;&gt;*Examen de diplom?*"),$B$74,"")</f>
        <v>Organe de maşini I</v>
      </c>
      <c r="BA496" s="268">
        <f t="shared" si="80"/>
        <v>3</v>
      </c>
      <c r="BB496" s="268" t="str">
        <f t="shared" si="81"/>
        <v>5</v>
      </c>
      <c r="BC496" s="268" t="str">
        <f>IF($AZ496="","",$F$76)</f>
        <v>D</v>
      </c>
      <c r="BD496" s="268" t="str">
        <f>IF($AZ496="","","DI")</f>
        <v>DI</v>
      </c>
      <c r="BE496" s="126">
        <f t="shared" ref="BE496:BE505" si="83">IF($AZ496&lt;&gt;"",ROUND(BH496/14,1),"")</f>
        <v>0</v>
      </c>
      <c r="BF496" s="126">
        <f t="shared" ref="BF496:BF505" si="84">IF($AZ496&lt;&gt;"",ROUND(BI496/14,1),"")</f>
        <v>1</v>
      </c>
      <c r="BG496" s="126">
        <f t="shared" ref="BG496:BG517" si="85">IF($AZ496&lt;&gt;"",BE496+BF496,"")</f>
        <v>1</v>
      </c>
      <c r="BH496" s="268">
        <f>IF(COUNTIFS($B$74,"&lt;&gt;"&amp;"",$B$74,"&lt;&gt;practic?*",$B$74,"&lt;&gt;*Elaborare proiect de diplom?*",$B$74,"&lt;&gt;*op?ional*",$B$74,"&lt;&gt;*Disciplin? facultativ?*", $B$74,"&lt;&gt;*Examen de diplom?*"),$G$76,"")</f>
        <v>0</v>
      </c>
      <c r="BI496" s="268">
        <f>IF(COUNTIFS($B$74,"&lt;&gt;"&amp;"",$B$74,"&lt;&gt;practic?*",$B$74,"&lt;&gt;*Elaborare proiect de diplom?*",$B$74,"&lt;&gt;*op?ional*",$B$74,"&lt;&gt;*Disciplin? facultativ?*", $B$74,"&lt;&gt;*Examen de diplom?*"),($H$76+$I$76+$J$76),"")</f>
        <v>14</v>
      </c>
      <c r="BJ496" s="126">
        <f t="shared" ref="BJ496:BJ505" si="86">IF($AZ496&lt;&gt;"",BH496+BI496,"")</f>
        <v>14</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4.4000000000000004</v>
      </c>
      <c r="BR496" s="268">
        <f>IF(COUNTIFS($B$74,"&lt;&gt;"&amp;"",$B$74,"&lt;&gt;practic?*",$B$74,"&lt;&gt;*op?ional*",$B$74,"&lt;&gt;*Disciplin? facultativ?*", $B$74,"&lt;&gt;*Examen de diplom?*"),IF($M$76&lt;&gt;"",ROUND($M$76,1),""),"")</f>
        <v>61</v>
      </c>
      <c r="BS496" s="268">
        <f>IF($AZ496="","",$E$76)</f>
        <v>3</v>
      </c>
      <c r="BT496" s="268"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20"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0</v>
      </c>
      <c r="I497" s="369">
        <f>$H$76+$I$76+$J$76</f>
        <v>14</v>
      </c>
      <c r="J497" s="126">
        <f t="shared" ref="J497:J506" si="94">H497+I497</f>
        <v>14</v>
      </c>
      <c r="K497" s="311">
        <f>$K$76</f>
        <v>0</v>
      </c>
      <c r="L497" s="370">
        <f>$M$76</f>
        <v>61</v>
      </c>
      <c r="N497" s="370">
        <f t="shared" ref="N497:N506" si="95">IF(ISNUMBER(L497+K497+J497), L497+K497+J497,0)</f>
        <v>75</v>
      </c>
      <c r="O497" s="397" t="b">
        <f t="shared" ref="O497:O506" si="96">IF(D497=0,TRUE, IF(N497/25=F497,TRUE,FALSE))</f>
        <v>1</v>
      </c>
      <c r="P497" s="422">
        <f t="shared" si="82"/>
        <v>25</v>
      </c>
      <c r="AX497" s="124" t="str">
        <f>$B$79</f>
        <v>L420.19.05.D3</v>
      </c>
      <c r="AY497" s="268">
        <v>3</v>
      </c>
      <c r="AZ497" s="268" t="str">
        <f>IF(COUNTIFS($B$77,"&lt;&gt;"&amp;"",$B$77,"&lt;&gt;practic?*",$B$77,"&lt;&gt;*op?ional*",$B$77,"&lt;&gt;*Disciplin? facultativ?*", $B$77,"&lt;&gt;*Examen de diplom?*"),$B$77,"")</f>
        <v>Acţionări şi comenzi pneumatice  şi hidraulice</v>
      </c>
      <c r="BA497" s="268">
        <f t="shared" si="80"/>
        <v>3</v>
      </c>
      <c r="BB497" s="268" t="str">
        <f t="shared" si="81"/>
        <v>5</v>
      </c>
      <c r="BC497" s="268" t="str">
        <f>IF($AZ497="","",$F$79)</f>
        <v>E</v>
      </c>
      <c r="BD497" s="127" t="str">
        <f t="shared" ref="BD497:BD505" si="97">IF($AZ497="","","DI")</f>
        <v>DI</v>
      </c>
      <c r="BE497" s="126">
        <f t="shared" si="83"/>
        <v>0</v>
      </c>
      <c r="BF497" s="126">
        <f t="shared" si="84"/>
        <v>3</v>
      </c>
      <c r="BG497" s="126">
        <f t="shared" si="85"/>
        <v>3</v>
      </c>
      <c r="BH497" s="268">
        <f>IF(COUNTIFS($B$77,"&lt;&gt;"&amp;"",$B$77,"&lt;&gt;practic?*",$B$77,"&lt;&gt;*Elaborare proiect de diplom?*",$B$77,"&lt;&gt;*op?ional*",$B$77,"&lt;&gt;*Disciplin? facultativ?*", $B$77,"&lt;&gt;*Examen de diplom?*"),$G$79,"")</f>
        <v>0</v>
      </c>
      <c r="BI497" s="268">
        <f>IF(COUNTIFS($B$77,"&lt;&gt;"&amp;"",$B$77,"&lt;&gt;practic?*",$B$77,"&lt;&gt;*Elaborare proiect de diplom?*",$B$77,"&lt;&gt;*op?ional*",$B$77,"&lt;&gt;*Disciplin? facultativ?*", $B$77,"&lt;&gt;*Examen de diplom?*"),($H$79+$I$79+$J$79),"")</f>
        <v>42</v>
      </c>
      <c r="BJ497" s="126">
        <f t="shared" si="86"/>
        <v>42</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7.7</v>
      </c>
      <c r="BR497" s="268">
        <f>IF(COUNTIFS($B$77,"&lt;&gt;"&amp;"",$B$77,"&lt;&gt;practic?*",$B$77,"&lt;&gt;*op?ional*",$B$77,"&lt;&gt;*Disciplin? facultativ?*", $B$77,"&lt;&gt;*Examen de diplom?*"),IF($M$79&lt;&gt;"",ROUND($M$79,1),""),"")</f>
        <v>108</v>
      </c>
      <c r="BS497" s="268">
        <f>IF($AZ497="","",$E$79)</f>
        <v>6</v>
      </c>
      <c r="BT497" s="268" t="str">
        <f>IF(COUNTIFS($B$77,"&lt;&gt;"&amp;"",$B$77,"&lt;&gt;practic?*",$B$77,"&lt;&gt;*op?ional*",$B$77,"&lt;&gt;*Disciplin? facultativ?*", $B$77,"&lt;&gt;*Examen de diplom?*"),$L$79,"")</f>
        <v>DD</v>
      </c>
      <c r="BU497" s="126">
        <f t="shared" ref="BU497:BU505" si="98">IF($AZ497="","",IF($BG497&lt;&gt;"",$BG497,0)+IF($BM497&lt;&gt;"",$BM497,0)+IF($BQ497&lt;&gt;"",$BQ497,0))</f>
        <v>10.7</v>
      </c>
      <c r="BV497" s="127">
        <f t="shared" si="92"/>
        <v>150</v>
      </c>
      <c r="BW497" s="420"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6</v>
      </c>
      <c r="H498" s="370">
        <f>$G$79</f>
        <v>0</v>
      </c>
      <c r="I498" s="369">
        <f>$H$79+$I$79+$J$79</f>
        <v>42</v>
      </c>
      <c r="J498" s="126">
        <f t="shared" si="94"/>
        <v>42</v>
      </c>
      <c r="K498" s="311">
        <f>$K$79</f>
        <v>0</v>
      </c>
      <c r="L498" s="370">
        <f>$M$79</f>
        <v>108</v>
      </c>
      <c r="N498" s="370">
        <f t="shared" si="95"/>
        <v>150</v>
      </c>
      <c r="O498" s="397" t="b">
        <f t="shared" si="96"/>
        <v>1</v>
      </c>
      <c r="P498" s="422">
        <f t="shared" si="82"/>
        <v>25</v>
      </c>
      <c r="AX498" s="124" t="str">
        <f>$B$82</f>
        <v>L420.19.05.D4</v>
      </c>
      <c r="AY498" s="127">
        <v>4</v>
      </c>
      <c r="AZ498" s="268" t="str">
        <f>IF(COUNTIFS($B$80,"&lt;&gt;"&amp;"",$B$80,"&lt;&gt;practic?*",$B$80,"&lt;&gt;*op?ional*",$B$80,"&lt;&gt;*Disciplin? facultativ?*", $B$80,"&lt;&gt;*Examen de diplom?*"),$B$80,"")</f>
        <v>Tratamente termice</v>
      </c>
      <c r="BA498" s="268">
        <f t="shared" si="80"/>
        <v>3</v>
      </c>
      <c r="BB498" s="268" t="str">
        <f t="shared" si="81"/>
        <v>5</v>
      </c>
      <c r="BC498" s="268" t="str">
        <f>IF($AZ498="","",$F$82)</f>
        <v>E</v>
      </c>
      <c r="BD498" s="268" t="str">
        <f t="shared" si="97"/>
        <v>DI</v>
      </c>
      <c r="BE498" s="126">
        <f t="shared" si="83"/>
        <v>0</v>
      </c>
      <c r="BF498" s="126">
        <f t="shared" si="84"/>
        <v>1</v>
      </c>
      <c r="BG498" s="126">
        <f t="shared" si="85"/>
        <v>1</v>
      </c>
      <c r="BH498" s="268">
        <f>IF(COUNTIFS($B$80,"&lt;&gt;"&amp;"",$B$80,"&lt;&gt;practic?*",$B$80,"&lt;&gt;*Elaborare proiect de diplom?*",$B$80,"&lt;&gt;*op?ional*",$B$80,"&lt;&gt;*Disciplin? facultativ?*", $B$80,"&lt;&gt;*Examen de diplom?*"),$G$82,"")</f>
        <v>0</v>
      </c>
      <c r="BI498" s="268">
        <f>IF(COUNTIFS($B$80,"&lt;&gt;"&amp;"",$B$80,"&lt;&gt;practic?*",$B$80,"&lt;&gt;*Elaborare proiect de diplom?*",$B$80,"&lt;&gt;*op?ional*",$B$80,"&lt;&gt;*Disciplin? facultativ?*", $B$80,"&lt;&gt;*Examen de diplom?*"),($H$82+$I$82+$J$82),"")</f>
        <v>14</v>
      </c>
      <c r="BJ498" s="126">
        <f t="shared" si="86"/>
        <v>14</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4.4000000000000004</v>
      </c>
      <c r="BR498" s="268">
        <f>IF(COUNTIFS($B$80,"&lt;&gt;"&amp;"",$B$80,"&lt;&gt;practic?*",$B$80,"&lt;&gt;*op?ional*",$B$80,"&lt;&gt;*Disciplin? facultativ?*", $B$80,"&lt;&gt;*Examen de diplom?*"),IF($M$82&lt;&gt;"",ROUND($M$82,1),""),"")</f>
        <v>61</v>
      </c>
      <c r="BS498" s="127">
        <f>IF($AZ498="","",$E$82)</f>
        <v>3</v>
      </c>
      <c r="BT498" s="268" t="str">
        <f>IF(COUNTIFS($B$80,"&lt;&gt;"&amp;"",$B$80,"&lt;&gt;practic?*",$B$80,"&lt;&gt;*op?ional*",$B$80,"&lt;&gt;*Disciplin? facultativ?*", $B$80,"&lt;&gt;*Examen de diplom?*"),$L$82,"")</f>
        <v>DD</v>
      </c>
      <c r="BU498" s="126">
        <f t="shared" si="98"/>
        <v>5.4</v>
      </c>
      <c r="BV498" s="127">
        <f t="shared" si="92"/>
        <v>75</v>
      </c>
      <c r="BW498" s="420"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0</v>
      </c>
      <c r="I499" s="369">
        <f>$H$82+$I$82+$J$82</f>
        <v>14</v>
      </c>
      <c r="J499" s="126">
        <f t="shared" si="94"/>
        <v>14</v>
      </c>
      <c r="K499" s="311">
        <f>$K$82</f>
        <v>0</v>
      </c>
      <c r="L499" s="127">
        <f>$M$82</f>
        <v>61</v>
      </c>
      <c r="N499" s="370">
        <f t="shared" si="95"/>
        <v>75</v>
      </c>
      <c r="O499" s="397" t="b">
        <f t="shared" si="96"/>
        <v>1</v>
      </c>
      <c r="P499" s="422">
        <f t="shared" si="82"/>
        <v>25</v>
      </c>
      <c r="AX499" s="124" t="str">
        <f>$B$85</f>
        <v>L420.19.05.S5</v>
      </c>
      <c r="AY499" s="268">
        <v>5</v>
      </c>
      <c r="AZ499" s="268" t="str">
        <f>IF(COUNTIFS($B$83,"&lt;&gt;"&amp;"",$B$83,"&lt;&gt;practic?*",$B$83,"&lt;&gt;*op?ional*",$B$83,"&lt;&gt;*Disciplin? facultativ?*", $B$83,"&lt;&gt;*Examen de diplom?*"),$B$83,"")</f>
        <v>Bazele proceselor de fabricatie</v>
      </c>
      <c r="BA499" s="268">
        <f t="shared" si="80"/>
        <v>3</v>
      </c>
      <c r="BB499" s="268" t="str">
        <f t="shared" si="81"/>
        <v>5</v>
      </c>
      <c r="BC499" s="268" t="str">
        <f>IF($AZ499="","",$F$85)</f>
        <v>E</v>
      </c>
      <c r="BD499" s="127" t="str">
        <f t="shared" si="97"/>
        <v>DI</v>
      </c>
      <c r="BE499" s="126">
        <f t="shared" si="83"/>
        <v>0</v>
      </c>
      <c r="BF499" s="126">
        <f t="shared" si="84"/>
        <v>3</v>
      </c>
      <c r="BG499" s="126">
        <f t="shared" si="85"/>
        <v>3</v>
      </c>
      <c r="BH499" s="268">
        <f>IF(COUNTIFS($B$83,"&lt;&gt;"&amp;"",$B$83,"&lt;&gt;practic?*",$B$83,"&lt;&gt;*Elaborare proiect de diplom?*",$B$83,"&lt;&gt;*op?ional*",$B$83,"&lt;&gt;*Disciplin? facultativ?*", $B$83,"&lt;&gt;*Examen de diplom?*"),$G$85,"")</f>
        <v>0</v>
      </c>
      <c r="BI499" s="268">
        <f>IF(COUNTIFS($B$83,"&lt;&gt;"&amp;"",$B$83,"&lt;&gt;practic?*",$B$83,"&lt;&gt;*Elaborare proiect de diplom?*",$B$83,"&lt;&gt;*op?ional*",$B$83,"&lt;&gt;*Disciplin? facultativ?*", $B$83,"&lt;&gt;*Examen de diplom?*"),($H$85+$I$85+$J$85),"")</f>
        <v>42</v>
      </c>
      <c r="BJ499" s="126">
        <f t="shared" si="86"/>
        <v>42</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7.7</v>
      </c>
      <c r="BR499" s="268">
        <f>IF(COUNTIFS($B$83,"&lt;&gt;"&amp;"",$B$83,"&lt;&gt;practic?*",$B$83,"&lt;&gt;*op?ional*",$B$83,"&lt;&gt;*Disciplin? facultativ?*", $B$83,"&lt;&gt;*Examen de diplom?*"),IF($M$85&lt;&gt;"",ROUND($M$85,1),""),"")</f>
        <v>108</v>
      </c>
      <c r="BS499" s="268">
        <f>IF($AZ499="","",$E$85)</f>
        <v>6</v>
      </c>
      <c r="BT499" s="268" t="str">
        <f>IF(COUNTIFS($B$83,"&lt;&gt;"&amp;"",$B$83,"&lt;&gt;practic?*",$B$83,"&lt;&gt;*op?ional*",$B$83,"&lt;&gt;*Disciplin? facultativ?*", $B$83,"&lt;&gt;*Examen de diplom?*"),$L$85,"")</f>
        <v>DS</v>
      </c>
      <c r="BU499" s="126">
        <f t="shared" si="98"/>
        <v>10.7</v>
      </c>
      <c r="BV499" s="127">
        <f t="shared" si="92"/>
        <v>150</v>
      </c>
      <c r="BW499" s="420"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6</v>
      </c>
      <c r="H500" s="370">
        <f>$G$85</f>
        <v>0</v>
      </c>
      <c r="I500" s="369">
        <f>$H$85+$I$85+$J$85</f>
        <v>42</v>
      </c>
      <c r="J500" s="126">
        <f t="shared" si="94"/>
        <v>42</v>
      </c>
      <c r="K500" s="311">
        <f>$K$85</f>
        <v>0</v>
      </c>
      <c r="L500" s="370">
        <f>$M$85</f>
        <v>108</v>
      </c>
      <c r="N500" s="370">
        <f t="shared" si="95"/>
        <v>150</v>
      </c>
      <c r="O500" s="397" t="b">
        <f t="shared" si="96"/>
        <v>1</v>
      </c>
      <c r="P500" s="422">
        <f t="shared" si="82"/>
        <v>25</v>
      </c>
      <c r="AX500" s="124" t="str">
        <f>$B$88</f>
        <v>L420.19.05.S6-ij</v>
      </c>
      <c r="AY500" s="268">
        <v>6</v>
      </c>
      <c r="AZ500" s="268" t="str">
        <f>IF(COUNTIFS($B$86,"&lt;&gt;"&amp;"",$B$86,"&lt;&gt;practic?*",$B$86,"&lt;&gt;*op?ional*",$B$86,"&lt;&gt;*Disciplin? facultativ?*", $B$86,"&lt;&gt;*Examen de diplom?*"),$B$86,"")</f>
        <v/>
      </c>
      <c r="BA500" s="268" t="str">
        <f t="shared" si="80"/>
        <v/>
      </c>
      <c r="BB500" s="268" t="str">
        <f t="shared" si="81"/>
        <v/>
      </c>
      <c r="BC500" s="268" t="str">
        <f>IF($AZ500="","",$F$88)</f>
        <v/>
      </c>
      <c r="BD500" s="268" t="str">
        <f t="shared" si="97"/>
        <v/>
      </c>
      <c r="BE500" s="126" t="str">
        <f t="shared" si="83"/>
        <v/>
      </c>
      <c r="BF500" s="126" t="str">
        <f t="shared" si="84"/>
        <v/>
      </c>
      <c r="BG500" s="126" t="str">
        <f t="shared" si="85"/>
        <v/>
      </c>
      <c r="BH500" s="268" t="str">
        <f>IF(COUNTIFS($B$86,"&lt;&gt;"&amp;"",$B$86,"&lt;&gt;practic?*",$B$86,"&lt;&gt;*Elaborare proiect de diplom?*",$B$86,"&lt;&gt;*op?ional*",$B$86,"&lt;&gt;*Disciplin? facultativ?*", $B$86,"&lt;&gt;*Examen de diplom?*"),$G$88,"")</f>
        <v/>
      </c>
      <c r="BI500" s="268" t="str">
        <f>IF(COUNTIFS($B$86,"&lt;&gt;"&amp;"",$B$86,"&lt;&gt;practic?*",$B$86,"&lt;&gt;*Elaborare proiect de diplom?*",$B$86,"&lt;&gt;*op?ional*",$B$86,"&lt;&gt;*Disciplin? facultativ?*", $B$86,"&lt;&gt;*Examen de diplom?*"),($H$88+$I$88+$J$88),"")</f>
        <v/>
      </c>
      <c r="BJ500" s="126" t="str">
        <f t="shared" si="86"/>
        <v/>
      </c>
      <c r="BK500" s="343" t="str">
        <f t="shared" si="87"/>
        <v/>
      </c>
      <c r="BL500" s="343" t="str">
        <f t="shared" si="88"/>
        <v/>
      </c>
      <c r="BM500" s="126" t="str">
        <f t="shared" si="89"/>
        <v/>
      </c>
      <c r="BN500" s="343" t="str">
        <f>IF(AZ500&lt;&gt;"",K$88,"")</f>
        <v/>
      </c>
      <c r="BO500" s="127" t="str">
        <f>IF(COUNTIF($AZ500,"=*Elaborare proiect de diplom?*"),$J$88,"0")</f>
        <v>0</v>
      </c>
      <c r="BP500" s="126" t="str">
        <f t="shared" si="90"/>
        <v/>
      </c>
      <c r="BQ500" s="343" t="str">
        <f t="shared" si="91"/>
        <v/>
      </c>
      <c r="BR500" s="268" t="str">
        <f>IF(COUNTIFS($B$86,"&lt;&gt;"&amp;"",$B$86,"&lt;&gt;practic?*",$B$86,"&lt;&gt;*op?ional*",$B$86,"&lt;&gt;*Disciplin? facultativ?*", $B$86,"&lt;&gt;*Examen de diplom?*"),IF($M$88&lt;&gt;"",ROUND($M$88,1),""),"")</f>
        <v/>
      </c>
      <c r="BS500" s="268" t="str">
        <f>IF($AZ500="","",$E$88)</f>
        <v/>
      </c>
      <c r="BT500" s="268" t="str">
        <f>IF(COUNTIFS($B$86,"&lt;&gt;"&amp;"",$B$86,"&lt;&gt;practic?*",$B$86,"&lt;&gt;*op?ional*",$B$86,"&lt;&gt;*Disciplin? facultativ?*", $B$86,"&lt;&gt;*Examen de diplom?*"),$L$88,"")</f>
        <v/>
      </c>
      <c r="BU500" s="126" t="str">
        <f t="shared" si="98"/>
        <v/>
      </c>
      <c r="BV500" s="127" t="str">
        <f t="shared" si="92"/>
        <v/>
      </c>
      <c r="BW500" s="420"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3</v>
      </c>
      <c r="H501" s="370">
        <f>$G$88</f>
        <v>0</v>
      </c>
      <c r="I501" s="369">
        <f>$H$88+$I$88+$J$88</f>
        <v>14</v>
      </c>
      <c r="J501" s="126">
        <f t="shared" si="94"/>
        <v>14</v>
      </c>
      <c r="K501" s="311">
        <f>$K$88</f>
        <v>0</v>
      </c>
      <c r="L501" s="370">
        <f>$M$88</f>
        <v>61</v>
      </c>
      <c r="N501" s="370">
        <f t="shared" si="95"/>
        <v>75</v>
      </c>
      <c r="O501" s="397" t="b">
        <f t="shared" si="96"/>
        <v>1</v>
      </c>
      <c r="P501" s="422">
        <f t="shared" si="82"/>
        <v>25</v>
      </c>
      <c r="AX501" s="124" t="str">
        <f>$B$91</f>
        <v>L420.19.05.S7-ij</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4</v>
      </c>
      <c r="H502" s="127">
        <f>$G$91</f>
        <v>0</v>
      </c>
      <c r="I502" s="369">
        <f>$H$91+$I$91+$J$91</f>
        <v>28</v>
      </c>
      <c r="J502" s="126">
        <f t="shared" si="94"/>
        <v>28</v>
      </c>
      <c r="K502" s="311">
        <f>$K$91</f>
        <v>0</v>
      </c>
      <c r="L502" s="127">
        <f>$M$91</f>
        <v>72</v>
      </c>
      <c r="N502" s="370">
        <f t="shared" si="95"/>
        <v>100</v>
      </c>
      <c r="O502" s="397" t="b">
        <f t="shared" si="96"/>
        <v>1</v>
      </c>
      <c r="P502" s="422">
        <f t="shared" si="82"/>
        <v>25</v>
      </c>
      <c r="AX502" s="124" t="str">
        <f>$B$94</f>
        <v>L420.19.05.D8</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369">
        <f>$E$94</f>
        <v>3</v>
      </c>
      <c r="H503" s="370">
        <f>$G$94</f>
        <v>0</v>
      </c>
      <c r="I503" s="369">
        <f>$H$94+$I$94+$J$94</f>
        <v>0</v>
      </c>
      <c r="J503" s="126">
        <f t="shared" si="94"/>
        <v>0</v>
      </c>
      <c r="K503" s="311">
        <f>$K$94</f>
        <v>100</v>
      </c>
      <c r="L503" s="370">
        <f>$M$94</f>
        <v>0</v>
      </c>
      <c r="N503" s="370">
        <f t="shared" si="95"/>
        <v>100</v>
      </c>
      <c r="O503" s="397" t="b">
        <f t="shared" si="96"/>
        <v>0</v>
      </c>
      <c r="P503" s="422">
        <f t="shared" si="82"/>
        <v>33.333333333333336</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L420.19.05.11-ij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20</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775</v>
      </c>
      <c r="O507" s="399" t="b">
        <f>AND(O496:O506)</f>
        <v>0</v>
      </c>
      <c r="P507" s="421">
        <f>N507/F507</f>
        <v>25.833333333333332</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L420.19.06.C1</v>
      </c>
      <c r="AY507" s="127">
        <v>1</v>
      </c>
      <c r="AZ507" s="127" t="str">
        <f>IF(COUNTIFS($N$71,"&lt;&gt;"&amp;"",$N$71,"&lt;&gt;practic?*",$N$71,"&lt;&gt;*op?ional*",$N$71,"&lt;&gt;*Disciplin? facultativ?*", $N$71,"&lt;&gt;*Examen de diplom?*"),$N$71,"")</f>
        <v>Marketing</v>
      </c>
      <c r="BA507" s="127">
        <f t="shared" ref="BA507:BA517" si="99">IF($AZ507="","",ROUND(RIGHT($N$70,1)/2,0))</f>
        <v>3</v>
      </c>
      <c r="BB507" s="127" t="str">
        <f t="shared" ref="BB507:BB517" si="100">IF($AZ507="","",RIGHT($N$70,1))</f>
        <v>6</v>
      </c>
      <c r="BC507" s="127" t="str">
        <f>IF($AZ507="","",$R$73)</f>
        <v>D</v>
      </c>
      <c r="BD507" s="127" t="str">
        <f>IF($AZ507="","","DI")</f>
        <v>DI</v>
      </c>
      <c r="BE507" s="126">
        <f>IF($AZ507&lt;&gt;"",ROUND(BH507/14,1),"")</f>
        <v>0</v>
      </c>
      <c r="BF507" s="126">
        <f>IF($AZ507&lt;&gt;"",ROUND(BI507/14,1),"")</f>
        <v>1</v>
      </c>
      <c r="BG507" s="126">
        <f t="shared" si="85"/>
        <v>1</v>
      </c>
      <c r="BH507" s="127">
        <f>IF(COUNTIFS($N$71,"&lt;&gt;"&amp;"",$N$71,"&lt;&gt;practic?*",$N$71,"&lt;&gt;*Elaborare proiect de diplom?*",$N$71,"&lt;&gt;*op?ional*",$N$71,"&lt;&gt;*Disciplin? facultativ?*", $N$71,"&lt;&gt;*Examen de diplom?*"),$S$73,"")</f>
        <v>0</v>
      </c>
      <c r="BI507" s="127">
        <f>IF(COUNTIFS($N$71,"&lt;&gt;"&amp;"",$N$71,"&lt;&gt;practic?*",$N$71,"&lt;&gt;*Elaborare proiect de diplom?*",$N$71,"&lt;&gt;*op?ional*",$N$71,"&lt;&gt;*Disciplin? facultativ?*", $N$71,"&lt;&gt;*Examen de diplom?*"),($T$73+$U$73+$V$73),"")</f>
        <v>14</v>
      </c>
      <c r="BJ507" s="126">
        <f>IF($AZ507&lt;&gt;"",BH507+BI507,"")</f>
        <v>14</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2.6</v>
      </c>
      <c r="BR507" s="127">
        <f>IF(COUNTIFS($N$71,"&lt;&gt;"&amp;"",$N$71,"&lt;&gt;practic?*",$N$71,"&lt;&gt;*op?ional*",$N$71,"&lt;&gt;*Disciplin? facultativ?*", $N$71,"&lt;&gt;*Examen de diplom?*"),IF($Y$73&lt;&gt;"",ROUND($Y$73,1),""),"")</f>
        <v>36</v>
      </c>
      <c r="BS507" s="127">
        <f>IF($AZ507="","",$Q$73)</f>
        <v>2</v>
      </c>
      <c r="BT507" s="127" t="str">
        <f>IF(COUNTIFS($N$71,"&lt;&gt;"&amp;"",$N$71,"&lt;&gt;practic?*",$N$71,"&lt;&gt;*op?ional*",$N$71,"&lt;&gt;*Disciplin? facultativ?*", $N$71,"&lt;&gt;*Examen de diplom?*"),$X$73,"")</f>
        <v>DC</v>
      </c>
      <c r="BU507" s="126">
        <f>IF($AZ507="","",IF($BG507&lt;&gt;"",$BG507,0)+IF($BM507&lt;&gt;"",$BM507,0)+IF($BQ507&lt;&gt;"",$BQ507,0))</f>
        <v>3.6</v>
      </c>
      <c r="BV507" s="127">
        <f>IF($AZ507="","",IF($BJ507&lt;&gt;"",$BJ507,0)+IF($BP507&lt;&gt;"",$BP507,0)+IF($BR507&lt;&gt;"",$BR507,0))</f>
        <v>50</v>
      </c>
      <c r="BW507" s="420" t="str">
        <f t="shared" si="13"/>
        <v>2021</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2</v>
      </c>
      <c r="G508" s="270"/>
      <c r="H508" s="127">
        <f>$S$73</f>
        <v>0</v>
      </c>
      <c r="I508" s="127">
        <f>$T$73+$U$73+$V$73</f>
        <v>14</v>
      </c>
      <c r="J508" s="126">
        <f>H508+I508</f>
        <v>14</v>
      </c>
      <c r="K508" s="311">
        <f>$W$73</f>
        <v>0</v>
      </c>
      <c r="L508" s="127">
        <f>$Y$73</f>
        <v>36</v>
      </c>
      <c r="N508" s="370">
        <f>IF(ISNUMBER(L508+K508+J508), L508+K508+J508,0)</f>
        <v>50</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L420.19.06.D2</v>
      </c>
      <c r="AY508" s="271">
        <v>2</v>
      </c>
      <c r="AZ508" s="271" t="str">
        <f>IF(COUNTIFS($N$74,"&lt;&gt;"&amp;"",$N$74,"&lt;&gt;practic?*",$N$74,"&lt;&gt;*op?ional*",$N$74,"&lt;&gt;*Disciplin? facultativ?*", $N$74,"&lt;&gt;*Examen de diplom?*"),$N$74,"")</f>
        <v>Organe de maşini II</v>
      </c>
      <c r="BA508" s="271">
        <f t="shared" si="99"/>
        <v>3</v>
      </c>
      <c r="BB508" s="271" t="str">
        <f t="shared" si="100"/>
        <v>6</v>
      </c>
      <c r="BC508" s="271" t="str">
        <f>IF($AZ508="","",$R$76)</f>
        <v>E</v>
      </c>
      <c r="BD508" s="271" t="str">
        <f>IF($AZ508="","","DI")</f>
        <v>DI</v>
      </c>
      <c r="BE508" s="126">
        <f t="shared" ref="BE508:BE517" si="101">IF($AZ508&lt;&gt;"",ROUND(BH508/14,1),"")</f>
        <v>0</v>
      </c>
      <c r="BF508" s="126">
        <f t="shared" ref="BF508:BF517" si="102">IF($AZ508&lt;&gt;"",ROUND(BI508/14,1),"")</f>
        <v>2</v>
      </c>
      <c r="BG508" s="126">
        <f t="shared" si="85"/>
        <v>2</v>
      </c>
      <c r="BH508" s="271">
        <f>IF(COUNTIFS($N$74,"&lt;&gt;"&amp;"",$N$74,"&lt;&gt;practic?*",$N$74,"&lt;&gt;*Elaborare proiect de diplom?*",$N$74,"&lt;&gt;*op?ional*",$N$74,"&lt;&gt;*Disciplin? facultativ?*", $N$74,"&lt;&gt;*Examen de diplom?*"),$S$76,"")</f>
        <v>0</v>
      </c>
      <c r="BI508" s="271">
        <f>IF(COUNTIFS($N$74,"&lt;&gt;"&amp;"",$N$74,"&lt;&gt;practic?*",$N$74,"&lt;&gt;*Elaborare proiect de diplom?*",$N$74,"&lt;&gt;*op?ional*",$N$74,"&lt;&gt;*Disciplin? facultativ?*", $N$74,"&lt;&gt;*Examen de diplom?*"),($T$76+$U$76+$V$76),"")</f>
        <v>28</v>
      </c>
      <c r="BJ508" s="126">
        <f t="shared" ref="BJ508:BJ517" si="103">IF($AZ508&lt;&gt;"",BH508+BI508,"")</f>
        <v>28</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6.9</v>
      </c>
      <c r="BR508" s="271">
        <f>IF(COUNTIFS($N$74,"&lt;&gt;"&amp;"",$N$74,"&lt;&gt;practic?*",$N$74,"&lt;&gt;*op?ional*",$N$74,"&lt;&gt;*Disciplin? facultativ?*", $N$74,"&lt;&gt;*Examen de diplom?*"),IF($Y$76&lt;&gt;"",ROUND($Y$76,1),""),"")</f>
        <v>97</v>
      </c>
      <c r="BS508" s="271">
        <f>IF($AZ508="","",$Q$76)</f>
        <v>5</v>
      </c>
      <c r="BT508" s="271" t="str">
        <f>IF(COUNTIFS($N$74,"&lt;&gt;"&amp;"",$N$74,"&lt;&gt;practic?*",$N$74,"&lt;&gt;*op?ional*",$N$74,"&lt;&gt;*Disciplin? facultativ?*", $N$74,"&lt;&gt;*Examen de diplom?*"),$X$76,"")</f>
        <v>DD</v>
      </c>
      <c r="BU508" s="126">
        <f>IF($AZ508="","",IF($BG508&lt;&gt;"",$BG508,0)+IF($BM508&lt;&gt;"",$BM508,0)+IF($BQ508&lt;&gt;"",$BQ508,0))</f>
        <v>8.9</v>
      </c>
      <c r="BV508" s="127">
        <f t="shared" ref="BV508:BV517" si="109">IF($AZ508="","",IF($BJ508&lt;&gt;"",$BJ508,0)+IF($BP508&lt;&gt;"",$BP508,0)+IF($BR508&lt;&gt;"",$BR508,0))</f>
        <v>125</v>
      </c>
      <c r="BW508" s="420" t="str">
        <f t="shared" si="13"/>
        <v>2021</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5</v>
      </c>
      <c r="G509" s="270"/>
      <c r="H509" s="370">
        <f>$S$76</f>
        <v>0</v>
      </c>
      <c r="I509" s="369">
        <f>$T$76+$U$76+$V$76</f>
        <v>28</v>
      </c>
      <c r="J509" s="126">
        <f t="shared" ref="J509:J518" si="111">H509+I509</f>
        <v>28</v>
      </c>
      <c r="K509" s="311">
        <f>$W$76</f>
        <v>0</v>
      </c>
      <c r="L509" s="370">
        <f>$Y$76</f>
        <v>97</v>
      </c>
      <c r="N509" s="370">
        <f t="shared" ref="N509:N518" si="112">IF(ISNUMBER(L509+K509+J509), L509+K509+J509,0)</f>
        <v>125</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L420.19.06.D3</v>
      </c>
      <c r="AY509" s="271">
        <v>3</v>
      </c>
      <c r="AZ509" s="271" t="str">
        <f>IF(COUNTIFS($N$77,"&lt;&gt;"&amp;"",$N$77,"&lt;&gt;practic?*",$N$77,"&lt;&gt;*op?ional*",$N$77,"&lt;&gt;*Disciplin? facultativ?*", $N$77,"&lt;&gt;*Examen de diplom?*"),$N$77,"")</f>
        <v>Proiectarea asistată de calculator</v>
      </c>
      <c r="BA509" s="271">
        <f t="shared" si="99"/>
        <v>3</v>
      </c>
      <c r="BB509" s="271" t="str">
        <f t="shared" si="100"/>
        <v>6</v>
      </c>
      <c r="BC509" s="271" t="str">
        <f>IF($AZ509="","",$R$79)</f>
        <v>D</v>
      </c>
      <c r="BD509" s="127" t="str">
        <f t="shared" ref="BD509:BD517" si="114">IF($AZ509="","","DI")</f>
        <v>DI</v>
      </c>
      <c r="BE509" s="126">
        <f t="shared" si="101"/>
        <v>0</v>
      </c>
      <c r="BF509" s="126">
        <f t="shared" si="102"/>
        <v>2</v>
      </c>
      <c r="BG509" s="126">
        <f t="shared" si="85"/>
        <v>2</v>
      </c>
      <c r="BH509" s="271">
        <f>IF(COUNTIFS($N$77,"&lt;&gt;"&amp;"",$N$77,"&lt;&gt;practic?*",$N$77,"&lt;&gt;*Elaborare proiect de diplom?*",$N$77,"&lt;&gt;*op?ional*",$N$77,"&lt;&gt;*Disciplin? facultativ?*", $N$77,"&lt;&gt;*Examen de diplom?*"),$S$79,"")</f>
        <v>0</v>
      </c>
      <c r="BI509" s="271">
        <f>IF(COUNTIFS($N$77,"&lt;&gt;"&amp;"",$N$77,"&lt;&gt;practic?*",$N$77,"&lt;&gt;*Elaborare proiect de diplom?*",$N$77,"&lt;&gt;*op?ional*",$N$77,"&lt;&gt;*Disciplin? facultativ?*", $N$77,"&lt;&gt;*Examen de diplom?*"),($T$79+$U$79+$V$79),"")</f>
        <v>28</v>
      </c>
      <c r="BJ509" s="126">
        <f t="shared" si="103"/>
        <v>28</v>
      </c>
      <c r="BK509" s="343">
        <f t="shared" si="104"/>
        <v>0</v>
      </c>
      <c r="BL509" s="343">
        <f t="shared" si="105"/>
        <v>0</v>
      </c>
      <c r="BM509" s="126">
        <f t="shared" si="106"/>
        <v>0</v>
      </c>
      <c r="BN509" s="343">
        <f>IF(AZ509&lt;&gt;"",W$79,"")</f>
        <v>0</v>
      </c>
      <c r="BO509" s="127" t="str">
        <f>IF(COUNTIF($AZ509,"=*Elaborare proiect de diplom?*"),$V$79,"0")</f>
        <v>0</v>
      </c>
      <c r="BP509" s="126">
        <f t="shared" si="107"/>
        <v>0</v>
      </c>
      <c r="BQ509" s="343">
        <f t="shared" si="108"/>
        <v>6.9</v>
      </c>
      <c r="BR509" s="271">
        <f>IF(COUNTIFS($N$77,"&lt;&gt;"&amp;"",$N$77,"&lt;&gt;practic?*",$N$77,"&lt;&gt;*op?ional*",$N$77,"&lt;&gt;*Disciplin? facultativ?*", $N$77,"&lt;&gt;*Examen de diplom?*"),IF($Y$79&lt;&gt;"",ROUND($Y$79,1),""),"")</f>
        <v>97</v>
      </c>
      <c r="BS509" s="271">
        <f>IF($AZ509="","",$Q$79)</f>
        <v>5</v>
      </c>
      <c r="BT509" s="271" t="str">
        <f>IF(COUNTIFS($N$77,"&lt;&gt;"&amp;"",$N$77,"&lt;&gt;practic?*",$N$77,"&lt;&gt;*op?ional*",$N$77,"&lt;&gt;*Disciplin? facultativ?*", $N$77,"&lt;&gt;*Examen de diplom?*"),$X$79,"")</f>
        <v>DD</v>
      </c>
      <c r="BU509" s="126">
        <f t="shared" ref="BU509:BU517" si="115">IF($AZ509="","",IF($BG509&lt;&gt;"",$BG509,0)+IF($BM509&lt;&gt;"",$BM509,0)+IF($BQ509&lt;&gt;"",$BQ509,0))</f>
        <v>8.9</v>
      </c>
      <c r="BV509" s="127">
        <f t="shared" si="109"/>
        <v>125</v>
      </c>
      <c r="BW509" s="420" t="str">
        <f t="shared" ref="BW509:BW572" si="116">IF($AZ509="","",CONCATENATE("20",G$12+BA509-1))</f>
        <v>2021</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5</v>
      </c>
      <c r="G510" s="270"/>
      <c r="H510" s="370">
        <f>$S$79</f>
        <v>0</v>
      </c>
      <c r="I510" s="369">
        <f>$T$79+$U$79+$V$79</f>
        <v>28</v>
      </c>
      <c r="J510" s="126">
        <f t="shared" si="111"/>
        <v>28</v>
      </c>
      <c r="K510" s="311">
        <f>$W$79</f>
        <v>0</v>
      </c>
      <c r="L510" s="370">
        <f>$Y$79</f>
        <v>97</v>
      </c>
      <c r="N510" s="370">
        <f t="shared" si="112"/>
        <v>125</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L420.19.06.S4-ij</v>
      </c>
      <c r="AY510" s="127">
        <v>4</v>
      </c>
      <c r="AZ510" s="271" t="str">
        <f>IF(COUNTIFS($N$80,"&lt;&gt;"&amp;"",$N$80,"&lt;&gt;practic?*",$N$80,"&lt;&gt;*op?ional*",$N$80,"&lt;&gt;*Disciplin? facultativ?*", $N$80,"&lt;&gt;*Examen de diplom?*"),$N$80,"")</f>
        <v/>
      </c>
      <c r="BA510" s="271" t="str">
        <f t="shared" si="99"/>
        <v/>
      </c>
      <c r="BB510" s="271" t="str">
        <f t="shared" si="100"/>
        <v/>
      </c>
      <c r="BC510" s="271" t="str">
        <f>IF($AZ510="","",$R$82)</f>
        <v/>
      </c>
      <c r="BD510" s="271" t="str">
        <f t="shared" si="114"/>
        <v/>
      </c>
      <c r="BE510" s="126" t="str">
        <f t="shared" si="101"/>
        <v/>
      </c>
      <c r="BF510" s="126" t="str">
        <f t="shared" si="102"/>
        <v/>
      </c>
      <c r="BG510" s="126" t="str">
        <f t="shared" si="85"/>
        <v/>
      </c>
      <c r="BH510" s="271" t="str">
        <f>IF(COUNTIFS($N$80,"&lt;&gt;"&amp;"",$N$80,"&lt;&gt;practic?*",$N$80,"&lt;&gt;*Elaborare proiect de diplom?*",$N$80,"&lt;&gt;*op?ional*",$N$80,"&lt;&gt;*Disciplin? facultativ?*", $N$80,"&lt;&gt;*Examen de diplom?*"),$S$82,"")</f>
        <v/>
      </c>
      <c r="BI510" s="271" t="str">
        <f>IF(COUNTIFS($N$80,"&lt;&gt;"&amp;"",$N$80,"&lt;&gt;practic?*",$N$80,"&lt;&gt;*Elaborare proiect de diplom?*",$N$80,"&lt;&gt;*op?ional*",$N$80,"&lt;&gt;*Disciplin? facultativ?*", $N$80,"&lt;&gt;*Examen de diplom?*"),($T$82+$U$82+$V$82),"")</f>
        <v/>
      </c>
      <c r="BJ510" s="126" t="str">
        <f t="shared" si="103"/>
        <v/>
      </c>
      <c r="BK510" s="343" t="str">
        <f t="shared" si="104"/>
        <v/>
      </c>
      <c r="BL510" s="343" t="str">
        <f t="shared" si="105"/>
        <v/>
      </c>
      <c r="BM510" s="126" t="str">
        <f t="shared" si="106"/>
        <v/>
      </c>
      <c r="BN510" s="343" t="str">
        <f>IF(AZ510&lt;&gt;"",W$82,"")</f>
        <v/>
      </c>
      <c r="BO510" s="127" t="str">
        <f>IF(COUNTIF($AZ510,"=*Elaborare proiect de diplom?*"),$V$82,"0")</f>
        <v>0</v>
      </c>
      <c r="BP510" s="126" t="str">
        <f t="shared" si="107"/>
        <v/>
      </c>
      <c r="BQ510" s="343" t="str">
        <f t="shared" si="108"/>
        <v/>
      </c>
      <c r="BR510" s="271" t="str">
        <f>IF(COUNTIFS($N$80,"&lt;&gt;"&amp;"",$N$80,"&lt;&gt;practic?*",$N$80,"&lt;&gt;*op?ional*",$N$80,"&lt;&gt;*Disciplin? facultativ?*", $N$80,"&lt;&gt;*Examen de diplom?*"),IF($Y$82&lt;&gt;"",ROUND($Y$82,1),""),"")</f>
        <v/>
      </c>
      <c r="BS510" s="127" t="str">
        <f>IF($AZ510="","",$Q$82)</f>
        <v/>
      </c>
      <c r="BT510" s="271" t="str">
        <f>IF(COUNTIFS($N$80,"&lt;&gt;"&amp;"",$N$80,"&lt;&gt;practic?*",$N$80,"&lt;&gt;*op?ional*",$N$80,"&lt;&gt;*Disciplin? facultativ?*", $N$80,"&lt;&gt;*Examen de diplom?*"),$X$82,"")</f>
        <v/>
      </c>
      <c r="BU510" s="126" t="str">
        <f t="shared" si="115"/>
        <v/>
      </c>
      <c r="BV510" s="127" t="str">
        <f t="shared" si="109"/>
        <v/>
      </c>
      <c r="BW510" s="420" t="str">
        <f t="shared" si="116"/>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3</v>
      </c>
      <c r="G511" s="270"/>
      <c r="H511" s="127">
        <f>$S$82</f>
        <v>0</v>
      </c>
      <c r="I511" s="369">
        <f>$T$82+$U$82+$V$82</f>
        <v>28</v>
      </c>
      <c r="J511" s="126">
        <f t="shared" si="111"/>
        <v>28</v>
      </c>
      <c r="K511" s="311">
        <f>$W$82</f>
        <v>0</v>
      </c>
      <c r="L511" s="127">
        <f>$Y$82</f>
        <v>47</v>
      </c>
      <c r="N511" s="370">
        <f t="shared" si="112"/>
        <v>75</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L420.19.06.D5-ij</v>
      </c>
      <c r="AY511" s="127">
        <v>5</v>
      </c>
      <c r="AZ511" s="271" t="str">
        <f>IF(COUNTIFS($N$83,"&lt;&gt;"&amp;"",$N$83,"&lt;&gt;practic?*",$N$83,"&lt;&gt;*op?ional*",$N$83,"&lt;&gt;*Disciplin? facultativ?*", $N$83,"&lt;&gt;*Examen de diplom?*"),$N$83,"")</f>
        <v/>
      </c>
      <c r="BA511" s="271" t="str">
        <f t="shared" si="99"/>
        <v/>
      </c>
      <c r="BB511" s="271" t="str">
        <f t="shared" si="100"/>
        <v/>
      </c>
      <c r="BC511" s="271" t="str">
        <f>IF($AZ511="","",$R$85)</f>
        <v/>
      </c>
      <c r="BD511" s="127" t="str">
        <f t="shared" si="114"/>
        <v/>
      </c>
      <c r="BE511" s="126" t="str">
        <f t="shared" si="101"/>
        <v/>
      </c>
      <c r="BF511" s="126" t="str">
        <f t="shared" si="102"/>
        <v/>
      </c>
      <c r="BG511" s="126" t="str">
        <f t="shared" si="85"/>
        <v/>
      </c>
      <c r="BH511" s="271" t="str">
        <f>IF(COUNTIFS($N$83,"&lt;&gt;"&amp;"",$N$83,"&lt;&gt;practic?*",$N$83,"&lt;&gt;*Elaborare proiect de diplom?*",$N$83,"&lt;&gt;*op?ional*",$N$83,"&lt;&gt;*Disciplin? facultativ?*", $N$83,"&lt;&gt;*Examen de diplom?*"),$S$85,"")</f>
        <v/>
      </c>
      <c r="BI511" s="271" t="str">
        <f>IF(COUNTIFS($N$83,"&lt;&gt;"&amp;"",$N$83,"&lt;&gt;practic?*",$N$83,"&lt;&gt;*Elaborare proiect de diplom?*",$N$83,"&lt;&gt;*op?ional*",$N$83,"&lt;&gt;*Disciplin? facultativ?*", $N$83,"&lt;&gt;*Examen de diplom?*"),($T$85+$U$85+$V$85),"")</f>
        <v/>
      </c>
      <c r="BJ511" s="126" t="str">
        <f t="shared" si="103"/>
        <v/>
      </c>
      <c r="BK511" s="343" t="str">
        <f t="shared" si="104"/>
        <v/>
      </c>
      <c r="BL511" s="343" t="str">
        <f t="shared" si="105"/>
        <v/>
      </c>
      <c r="BM511" s="126" t="str">
        <f t="shared" si="106"/>
        <v/>
      </c>
      <c r="BN511" s="343" t="str">
        <f>IF(AZ511&lt;&gt;"",W$85,"")</f>
        <v/>
      </c>
      <c r="BO511" s="127" t="str">
        <f>IF(COUNTIF($AZ511,"=*Elaborare proiect de diplom?*"),$V$85,"0")</f>
        <v>0</v>
      </c>
      <c r="BP511" s="126" t="str">
        <f t="shared" si="107"/>
        <v/>
      </c>
      <c r="BQ511" s="343" t="str">
        <f t="shared" si="108"/>
        <v/>
      </c>
      <c r="BR511" s="271" t="str">
        <f>IF(COUNTIFS($N$83,"&lt;&gt;"&amp;"",$N$83,"&lt;&gt;practic?*",$N$83,"&lt;&gt;*op?ional*",$N$83,"&lt;&gt;*Disciplin? facultativ?*", $N$83,"&lt;&gt;*Examen de diplom?*"),IF($Y$85&lt;&gt;"",ROUND($Y$85,1),""),"")</f>
        <v/>
      </c>
      <c r="BS511" s="271" t="str">
        <f>IF($AZ511="","",$Q$85)</f>
        <v/>
      </c>
      <c r="BT511" s="271" t="str">
        <f>IF(COUNTIFS($N$83,"&lt;&gt;"&amp;"",$N$83,"&lt;&gt;practic?*",$N$83,"&lt;&gt;*op?ional*",$N$83,"&lt;&gt;*Disciplin? facultativ?*", $N$83,"&lt;&gt;*Examen de diplom?*"),$X$85,"")</f>
        <v/>
      </c>
      <c r="BU511" s="126" t="str">
        <f t="shared" si="115"/>
        <v/>
      </c>
      <c r="BV511" s="127" t="str">
        <f t="shared" si="109"/>
        <v/>
      </c>
      <c r="BW511" s="420" t="str">
        <f t="shared" si="116"/>
        <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4</v>
      </c>
      <c r="G512" s="270"/>
      <c r="H512" s="370">
        <f>$S$85</f>
        <v>0</v>
      </c>
      <c r="I512" s="369">
        <f>$T$85+$U$85+$V$85</f>
        <v>28</v>
      </c>
      <c r="J512" s="126">
        <f t="shared" si="111"/>
        <v>28</v>
      </c>
      <c r="K512" s="311">
        <f>$W$85</f>
        <v>0</v>
      </c>
      <c r="L512" s="370">
        <f>$Y$85</f>
        <v>72</v>
      </c>
      <c r="N512" s="370">
        <f t="shared" si="112"/>
        <v>100</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L420.19.06.D6-ij</v>
      </c>
      <c r="AY512" s="343">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3" t="str">
        <f t="shared" si="104"/>
        <v/>
      </c>
      <c r="BL512" s="343" t="str">
        <f t="shared" si="105"/>
        <v/>
      </c>
      <c r="BM512" s="126" t="str">
        <f t="shared" si="106"/>
        <v/>
      </c>
      <c r="BN512" s="343" t="str">
        <f>IF(AZ512&lt;&gt;"",W$88,"")</f>
        <v/>
      </c>
      <c r="BO512" s="127" t="str">
        <f>IF(COUNTIF($AZ512,"=*Elaborare proiect de diplom?*"),$V$88,"0")</f>
        <v>0</v>
      </c>
      <c r="BP512" s="126" t="str">
        <f t="shared" si="107"/>
        <v/>
      </c>
      <c r="BQ512" s="343"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20"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0</v>
      </c>
      <c r="I513" s="369">
        <f>$T$88+$U$88+$V$88</f>
        <v>28</v>
      </c>
      <c r="J513" s="126">
        <f t="shared" si="111"/>
        <v>28</v>
      </c>
      <c r="K513" s="311">
        <f>$W$88</f>
        <v>0</v>
      </c>
      <c r="L513" s="370">
        <f>$Y$88</f>
        <v>72</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L420.19.06.S7-ij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0</v>
      </c>
      <c r="I514" s="369">
        <f>$T$91+$U$91+$V$91</f>
        <v>28</v>
      </c>
      <c r="J514" s="126">
        <f t="shared" si="111"/>
        <v>28</v>
      </c>
      <c r="K514" s="311">
        <f>$W$91</f>
        <v>0</v>
      </c>
      <c r="L514" s="127">
        <f>$Y$91</f>
        <v>72</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L420.19.06.S8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3</v>
      </c>
      <c r="G515" s="270"/>
      <c r="H515" s="370">
        <f>$S$94</f>
        <v>0</v>
      </c>
      <c r="I515" s="369">
        <f>$T$94+$U$94+$V$94</f>
        <v>0</v>
      </c>
      <c r="J515" s="126">
        <f t="shared" si="111"/>
        <v>0</v>
      </c>
      <c r="K515" s="311">
        <f>$W$94</f>
        <v>100</v>
      </c>
      <c r="L515" s="370">
        <f>$Y$94</f>
        <v>0</v>
      </c>
      <c r="N515" s="370">
        <f t="shared" si="112"/>
        <v>100</v>
      </c>
      <c r="O515" s="397" t="b">
        <f t="shared" si="113"/>
        <v>0</v>
      </c>
      <c r="P515" s="422">
        <f t="shared" si="82"/>
        <v>33.333333333333336</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L420.19.06.11-ij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12</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775</v>
      </c>
      <c r="O519" s="399" t="b">
        <f>AND(O508:O518)</f>
        <v>0</v>
      </c>
      <c r="P519" s="421">
        <f>N519/F519</f>
        <v>25.833333333333332</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L420.19.07.S1-ij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5</v>
      </c>
      <c r="G521" s="270"/>
      <c r="H521" s="127">
        <f>$AE$73</f>
        <v>0</v>
      </c>
      <c r="I521" s="127">
        <f>$AF$73+$AG$73+$AH$73</f>
        <v>28</v>
      </c>
      <c r="J521" s="126">
        <f>H521+I521</f>
        <v>28</v>
      </c>
      <c r="K521" s="311">
        <f>$AI$73</f>
        <v>0</v>
      </c>
      <c r="L521" s="127">
        <f>$AK$73</f>
        <v>97</v>
      </c>
      <c r="N521" s="370">
        <f>IF(ISNUMBER(L521+K521+J521), L521+K521+J521,0)</f>
        <v>125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L420.19.07.S2-ij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5</v>
      </c>
      <c r="G522" s="270"/>
      <c r="H522" s="370">
        <f>$AE$76</f>
        <v>0</v>
      </c>
      <c r="I522" s="369">
        <f>$AF$76+$AG$76+$AH$76</f>
        <v>28</v>
      </c>
      <c r="J522" s="126">
        <f t="shared" ref="J522:J531" si="131">H522+I522</f>
        <v>28</v>
      </c>
      <c r="K522" s="311">
        <f>$AI$76</f>
        <v>0</v>
      </c>
      <c r="L522" s="370">
        <f>$AK$76</f>
        <v>97</v>
      </c>
      <c r="N522" s="370">
        <f t="shared" ref="N522:N531" si="132">IF(ISNUMBER(L522+K522+J522), L522+K522+J522,0)</f>
        <v>125</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L420.19.07.S3-ij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4</v>
      </c>
      <c r="G523" s="270"/>
      <c r="H523" s="370">
        <f>$AE$79</f>
        <v>0</v>
      </c>
      <c r="I523" s="369">
        <f>$AF$79+$AG$79+$AH$79</f>
        <v>28</v>
      </c>
      <c r="J523" s="126">
        <f t="shared" si="131"/>
        <v>28</v>
      </c>
      <c r="K523" s="311">
        <f>$AI$79</f>
        <v>0</v>
      </c>
      <c r="L523" s="370">
        <f>$AK$79</f>
        <v>72</v>
      </c>
      <c r="N523" s="370">
        <f t="shared" si="132"/>
        <v>100</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L420.19.07.S4-ij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5</v>
      </c>
      <c r="G524" s="270"/>
      <c r="H524" s="127">
        <f>$AE$82</f>
        <v>0</v>
      </c>
      <c r="I524" s="369">
        <f>$AF$82+$AG$82+$AH$82</f>
        <v>28</v>
      </c>
      <c r="J524" s="126">
        <f t="shared" si="131"/>
        <v>28</v>
      </c>
      <c r="K524" s="311">
        <f>$AI$82</f>
        <v>0</v>
      </c>
      <c r="L524" s="127">
        <f>$AK$82</f>
        <v>97</v>
      </c>
      <c r="N524" s="370">
        <f t="shared" si="132"/>
        <v>125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L420.19.07.C5</v>
      </c>
      <c r="AY524" s="271">
        <v>5</v>
      </c>
      <c r="AZ524" s="271" t="str">
        <f>IF(COUNTIFS($Z$83,"&lt;&gt;"&amp;"",$Z$83,"&lt;&gt;practic?*",$Z$83,"&lt;&gt;*op?ional*",$Z$83,"&lt;&gt;*Disciplin? facultativ?*", $Z$83,"&lt;&gt;*Examen de diplom?*"),$Z$83,"")</f>
        <v>Comunicare</v>
      </c>
      <c r="BA524" s="271">
        <f t="shared" si="117"/>
        <v>4</v>
      </c>
      <c r="BB524" s="271" t="str">
        <f t="shared" si="118"/>
        <v>7</v>
      </c>
      <c r="BC524" s="271" t="str">
        <f>IF($AZ524="","",$AD$85)</f>
        <v>D</v>
      </c>
      <c r="BD524" s="127" t="str">
        <f t="shared" si="134"/>
        <v>DI</v>
      </c>
      <c r="BE524" s="126">
        <f t="shared" si="121"/>
        <v>0</v>
      </c>
      <c r="BF524" s="126">
        <f t="shared" si="122"/>
        <v>1</v>
      </c>
      <c r="BG524" s="126">
        <f t="shared" si="119"/>
        <v>1</v>
      </c>
      <c r="BH524" s="271">
        <f>IF(COUNTIFS($Z$83,"&lt;&gt;"&amp;"",$Z$83,"&lt;&gt;practic?*",$Z$83,"&lt;&gt;*Elaborare proiect de diplom?*",$Z$83,"&lt;&gt;*op?ional*",$Z$83,"&lt;&gt;*Disciplin? facultativ?*", $Z$83,"&lt;&gt;*Examen de diplom?*"),$AE$85,"")</f>
        <v>0</v>
      </c>
      <c r="BI524" s="271">
        <f>IF(COUNTIFS($Z$83,"&lt;&gt;"&amp;"",$Z$83,"&lt;&gt;practic?*",$Z$83,"&lt;&gt;*Elaborare proiect de diplom?*",$Z$83,"&lt;&gt;*op?ional*",$Z$83,"&lt;&gt;*Disciplin? facultativ?*", $Z$83,"&lt;&gt;*Examen de diplom?*"),($AF$85+$AG$85+$AH$85),"")</f>
        <v>14</v>
      </c>
      <c r="BJ524" s="126">
        <f t="shared" si="123"/>
        <v>14</v>
      </c>
      <c r="BK524" s="343">
        <f t="shared" si="124"/>
        <v>0</v>
      </c>
      <c r="BL524" s="343">
        <f t="shared" si="125"/>
        <v>0</v>
      </c>
      <c r="BM524" s="126">
        <f t="shared" si="126"/>
        <v>0</v>
      </c>
      <c r="BN524" s="343">
        <f>IF(AZ524&lt;&gt;"",AI$85,"")</f>
        <v>0</v>
      </c>
      <c r="BO524" s="127" t="str">
        <f>IF(COUNTIF($AZ524,"=*Elaborare proiect de diplom?*"),$AH$85,"0")</f>
        <v>0</v>
      </c>
      <c r="BP524" s="126">
        <f t="shared" si="127"/>
        <v>0</v>
      </c>
      <c r="BQ524" s="343">
        <f t="shared" si="128"/>
        <v>2.6</v>
      </c>
      <c r="BR524" s="271">
        <f>IF(COUNTIFS($Z$83,"&lt;&gt;"&amp;"",$Z$83,"&lt;&gt;practic?*",$Z$83,"&lt;&gt;*op?ional*",$Z$83,"&lt;&gt;*Disciplin? facultativ?*", $Z$83,"&lt;&gt;*Examen de diplom?*"),IF($AK$85&lt;&gt;"",ROUND($AK$85,1),""),"")</f>
        <v>36</v>
      </c>
      <c r="BS524" s="271">
        <f>IF($AZ524="","",$AC$85)</f>
        <v>2</v>
      </c>
      <c r="BT524" s="271" t="str">
        <f>IF(COUNTIFS($Z$83,"&lt;&gt;"&amp;"",$Z$83,"&lt;&gt;practic?*",$Z$83,"&lt;&gt;*op?ional*",$Z$83,"&lt;&gt;*Disciplin? facultativ?*", $Z$83,"&lt;&gt;*Examen de diplom?*"),$AJ$85,"")</f>
        <v>DC</v>
      </c>
      <c r="BU524" s="126">
        <f t="shared" si="135"/>
        <v>3.6</v>
      </c>
      <c r="BV524" s="127">
        <f t="shared" si="129"/>
        <v>50</v>
      </c>
      <c r="BW524" s="420" t="str">
        <f t="shared" si="116"/>
        <v>2022</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2</v>
      </c>
      <c r="G525" s="270"/>
      <c r="H525" s="370">
        <f>$AE$85</f>
        <v>0</v>
      </c>
      <c r="I525" s="369">
        <f>$AF$85+$AG$85+$AH$85</f>
        <v>14</v>
      </c>
      <c r="J525" s="126">
        <f t="shared" si="131"/>
        <v>14</v>
      </c>
      <c r="K525" s="311">
        <f>$AI$85</f>
        <v>0</v>
      </c>
      <c r="L525" s="370">
        <f>$AK$85</f>
        <v>36</v>
      </c>
      <c r="N525" s="370">
        <f t="shared" si="132"/>
        <v>50</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L420.19.07.D6-ij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5</v>
      </c>
      <c r="G526" s="270"/>
      <c r="H526" s="370">
        <f>$AE$88</f>
        <v>0</v>
      </c>
      <c r="I526" s="369">
        <f>$AF$88+$AG$88+$AH$88</f>
        <v>28</v>
      </c>
      <c r="J526" s="126">
        <f t="shared" si="131"/>
        <v>28</v>
      </c>
      <c r="K526" s="311">
        <f>$AI$88</f>
        <v>0</v>
      </c>
      <c r="L526" s="370">
        <f>$AK$88</f>
        <v>97</v>
      </c>
      <c r="N526" s="370">
        <f t="shared" si="132"/>
        <v>125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L420.19.07.D7-ij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4</v>
      </c>
      <c r="G527" s="270"/>
      <c r="H527" s="127">
        <f>$AE$91</f>
        <v>0</v>
      </c>
      <c r="I527" s="369">
        <f>$AF$91+$AG$91+$AH$91</f>
        <v>28</v>
      </c>
      <c r="J527" s="126">
        <f t="shared" si="131"/>
        <v>28</v>
      </c>
      <c r="K527" s="311">
        <f>$AI$91</f>
        <v>0</v>
      </c>
      <c r="L527" s="127">
        <f>$AK$91</f>
        <v>72</v>
      </c>
      <c r="N527" s="370">
        <f t="shared" si="132"/>
        <v>100</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2</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L420.19.08.S1-ij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4</v>
      </c>
      <c r="H533" s="127">
        <f>$AQ$73</f>
        <v>0</v>
      </c>
      <c r="I533" s="127">
        <f>$AR$73+$AS$73+$AT$73</f>
        <v>28</v>
      </c>
      <c r="J533" s="126">
        <f>H533+I533</f>
        <v>28</v>
      </c>
      <c r="K533" s="311">
        <f>$AU$73</f>
        <v>0</v>
      </c>
      <c r="L533" s="127">
        <f>$AW$73</f>
        <v>72</v>
      </c>
      <c r="N533" s="370">
        <f>IF(ISNUMBER(L533+K533+J533), L533+K533+J533,0)</f>
        <v>100</v>
      </c>
      <c r="O533" s="397" t="b">
        <f>IF(D533=0,TRUE, IF(N533/25=F533,TRUE,FALSE))</f>
        <v>1</v>
      </c>
      <c r="P533" s="405">
        <f t="shared" si="120"/>
        <v>25</v>
      </c>
      <c r="AX533" s="124" t="str">
        <f>$AL$76</f>
        <v>L420.19.08.S2-ij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4</v>
      </c>
      <c r="H534" s="370">
        <f>$AQ$76</f>
        <v>0</v>
      </c>
      <c r="I534" s="369">
        <f>$AR$76+$AS$76+$AT$76</f>
        <v>28</v>
      </c>
      <c r="J534" s="126">
        <f t="shared" ref="J534:J543" si="148">H534+I534</f>
        <v>28</v>
      </c>
      <c r="K534" s="311">
        <f>$AU$76</f>
        <v>0</v>
      </c>
      <c r="L534" s="370">
        <f>$AW$76</f>
        <v>72</v>
      </c>
      <c r="N534" s="370">
        <f t="shared" ref="N534:N543" si="149">IF(ISNUMBER(L534+K534+J534), L534+K534+J534,0)</f>
        <v>100</v>
      </c>
      <c r="O534" s="397" t="b">
        <f t="shared" ref="O534:O543" si="150">IF(D534=0,TRUE, IF(N534/25=F534,TRUE,FALSE))</f>
        <v>1</v>
      </c>
      <c r="P534" s="405">
        <f t="shared" si="120"/>
        <v>25</v>
      </c>
      <c r="AX534" s="124" t="str">
        <f>$AL$79</f>
        <v>L420.19.08.S3-ij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4</v>
      </c>
      <c r="H535" s="370">
        <f>$AQ$79</f>
        <v>0</v>
      </c>
      <c r="I535" s="369">
        <f>$AR$79+$AS$79+$AT$79</f>
        <v>14</v>
      </c>
      <c r="J535" s="126">
        <f t="shared" si="148"/>
        <v>14</v>
      </c>
      <c r="K535" s="311">
        <f>$AU$79</f>
        <v>0</v>
      </c>
      <c r="L535" s="370">
        <f>$AW$79</f>
        <v>86</v>
      </c>
      <c r="N535" s="370">
        <f t="shared" si="149"/>
        <v>100</v>
      </c>
      <c r="O535" s="397" t="b">
        <f t="shared" si="150"/>
        <v>1</v>
      </c>
      <c r="P535" s="405">
        <f t="shared" si="120"/>
        <v>25</v>
      </c>
      <c r="AX535" s="124" t="str">
        <f>$AL$82</f>
        <v>L420.19.08.S4-ij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3</v>
      </c>
      <c r="H536" s="127">
        <f>$AQ$82</f>
        <v>0</v>
      </c>
      <c r="I536" s="369">
        <f>$AR$82+$AS$82+$AT$82</f>
        <v>14</v>
      </c>
      <c r="J536" s="126">
        <f t="shared" si="148"/>
        <v>14</v>
      </c>
      <c r="K536" s="311">
        <f>$AU$82</f>
        <v>0</v>
      </c>
      <c r="L536" s="127">
        <f>$AW$82</f>
        <v>61</v>
      </c>
      <c r="N536" s="370">
        <f t="shared" si="149"/>
        <v>75</v>
      </c>
      <c r="O536" s="397" t="b">
        <f t="shared" si="150"/>
        <v>1</v>
      </c>
      <c r="P536" s="405">
        <f t="shared" si="120"/>
        <v>25</v>
      </c>
      <c r="AX536" s="124" t="str">
        <f>$AL$85</f>
        <v>L420.19.08.S5</v>
      </c>
      <c r="AY536" s="127">
        <v>5</v>
      </c>
      <c r="AZ536" s="271" t="str">
        <f>IF(COUNTIFS($AL$83,"&lt;&gt;"&amp;"",$AL$83,"&lt;&gt;practic?*",$AL$83,"&lt;&gt;*op?ional*",$AL$83,"&lt;&gt;*Disciplin? facultativ?*", $AL$83,"&lt;&gt;*Examen de diplom?*"),$AL$83,"")</f>
        <v>Elaborare proiect de diplomă3)</v>
      </c>
      <c r="BA536" s="271">
        <f t="shared" si="136"/>
        <v>4</v>
      </c>
      <c r="BB536" s="271" t="str">
        <f t="shared" si="137"/>
        <v>8</v>
      </c>
      <c r="BC536" s="271" t="str">
        <f>IF($AZ536="","",$AP$85)</f>
        <v>D</v>
      </c>
      <c r="BD536" s="127" t="str">
        <f t="shared" si="151"/>
        <v>DI</v>
      </c>
      <c r="BE536" s="126" t="e">
        <f t="shared" si="138"/>
        <v>#VALUE!</v>
      </c>
      <c r="BF536" s="126" t="e">
        <f t="shared" si="139"/>
        <v>#VALUE!</v>
      </c>
      <c r="BG536" s="126" t="e">
        <f t="shared" si="119"/>
        <v>#VALUE!</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e">
        <f t="shared" si="140"/>
        <v>#VALUE!</v>
      </c>
      <c r="BK536" s="343">
        <f t="shared" si="141"/>
        <v>0</v>
      </c>
      <c r="BL536" s="343">
        <f t="shared" si="142"/>
        <v>13</v>
      </c>
      <c r="BM536" s="126">
        <f t="shared" si="143"/>
        <v>13</v>
      </c>
      <c r="BN536" s="343">
        <f>IF(AZ536&lt;&gt;"",AU$85,"")</f>
        <v>0</v>
      </c>
      <c r="BO536" s="127">
        <f>IF(COUNTIF($AZ536,"=*Elaborare proiect de diplom?*"),$AT$85,"0")</f>
        <v>182</v>
      </c>
      <c r="BP536" s="126">
        <f t="shared" si="144"/>
        <v>182</v>
      </c>
      <c r="BQ536" s="343">
        <f t="shared" si="145"/>
        <v>0</v>
      </c>
      <c r="BR536" s="271">
        <f>IF(COUNTIFS($AL$83,"&lt;&gt;"&amp;"",$AL$83,"&lt;&gt;practic?*",$AL$83,"&lt;&gt;*op?ional*",$AL$83,"&lt;&gt;*Disciplin? facultativ?*", $AL$83,"&lt;&gt;*Examen de diplom?*"),IF($AW$85&lt;&gt;"",ROUND($AW$85,1),""),"")</f>
        <v>0</v>
      </c>
      <c r="BS536" s="271">
        <f>IF($AZ536="","",$AO$85)</f>
        <v>5</v>
      </c>
      <c r="BT536" s="271" t="str">
        <f>IF(COUNTIFS($AL$83,"&lt;&gt;"&amp;"",$AL$83,"&lt;&gt;practic?*",$AL$83,"&lt;&gt;*op?ional*",$AL$83,"&lt;&gt;*Disciplin? facultativ?*", $AL$83,"&lt;&gt;*Examen de diplom?*"),$AV$85,"")</f>
        <v>DS</v>
      </c>
      <c r="BU536" s="126" t="e">
        <f t="shared" si="152"/>
        <v>#VALUE!</v>
      </c>
      <c r="BV536" s="127" t="e">
        <f t="shared" si="146"/>
        <v>#VALUE!</v>
      </c>
      <c r="BW536" s="420" t="str">
        <f t="shared" si="116"/>
        <v>2022</v>
      </c>
      <c r="BX536" s="124"/>
    </row>
    <row r="537" spans="2:98" ht="21" hidden="1" customHeight="1" x14ac:dyDescent="0.2">
      <c r="D537" s="397">
        <f t="shared" si="147"/>
        <v>1</v>
      </c>
      <c r="F537" s="370">
        <f>$AO$85</f>
        <v>5</v>
      </c>
      <c r="H537" s="370">
        <f>$AQ$85</f>
        <v>0</v>
      </c>
      <c r="I537" s="369">
        <f>$AR$85+$AS$85+$AT$85</f>
        <v>182</v>
      </c>
      <c r="J537" s="126">
        <f t="shared" si="148"/>
        <v>182</v>
      </c>
      <c r="K537" s="311">
        <f>$AU$85</f>
        <v>0</v>
      </c>
      <c r="L537" s="370">
        <f>$AW$85</f>
        <v>0</v>
      </c>
      <c r="N537" s="370">
        <f t="shared" si="149"/>
        <v>182</v>
      </c>
      <c r="O537" s="397" t="b">
        <f t="shared" si="150"/>
        <v>0</v>
      </c>
      <c r="P537" s="405">
        <f t="shared" si="120"/>
        <v>36.4</v>
      </c>
      <c r="AX537" s="124" t="str">
        <f>$AL$88</f>
        <v>L420.19.08.6</v>
      </c>
      <c r="AY537" s="343">
        <v>6</v>
      </c>
      <c r="AZ537" s="271" t="str">
        <f>IF(COUNTIFS($AL$86,"&lt;&gt;"&amp;"",$AL$86,"&lt;&gt;practic?*",$AL$86,"&lt;&gt;*op?ional*",$AL$86,"&lt;&gt;*Disciplin? facultativ?*", $AL$86,"&lt;&gt;*Examen de diplom?*"),$AL$86,"")</f>
        <v/>
      </c>
      <c r="BA537" s="271" t="str">
        <f t="shared" si="136"/>
        <v/>
      </c>
      <c r="BB537" s="271" t="str">
        <f t="shared" si="137"/>
        <v/>
      </c>
      <c r="BC537" s="271" t="str">
        <f>IF($AZ537="","",$AP$88)</f>
        <v/>
      </c>
      <c r="BD537" s="271" t="str">
        <f t="shared" si="151"/>
        <v/>
      </c>
      <c r="BE537" s="126" t="str">
        <f t="shared" si="138"/>
        <v/>
      </c>
      <c r="BF537" s="126" t="str">
        <f t="shared" si="139"/>
        <v/>
      </c>
      <c r="BG537" s="126" t="str">
        <f t="shared" si="119"/>
        <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str">
        <f t="shared" si="140"/>
        <v/>
      </c>
      <c r="BK537" s="343" t="str">
        <f t="shared" si="141"/>
        <v/>
      </c>
      <c r="BL537" s="343" t="str">
        <f t="shared" si="142"/>
        <v/>
      </c>
      <c r="BM537" s="126" t="str">
        <f t="shared" si="143"/>
        <v/>
      </c>
      <c r="BN537" s="343" t="str">
        <f>IF(AZ537&lt;&gt;"",AU$88,"")</f>
        <v/>
      </c>
      <c r="BO537" s="127" t="str">
        <f>IF(COUNTIF($AZ537,"=*Elaborare proiect de diplom?*"),$AT$88,"0")</f>
        <v>0</v>
      </c>
      <c r="BP537" s="126" t="str">
        <f t="shared" si="144"/>
        <v/>
      </c>
      <c r="BQ537" s="343" t="str">
        <f t="shared" si="145"/>
        <v/>
      </c>
      <c r="BR537" s="271" t="str">
        <f>IF(COUNTIFS($AL$86,"&lt;&gt;"&amp;"",$AL$86,"&lt;&gt;practic?*",$AL$86,"&lt;&gt;*op?ional*",$AL$86,"&lt;&gt;*Disciplin? facultativ?*", $AL$86,"&lt;&gt;*Examen de diplom?*"),IF($AW$88&lt;&gt;"",ROUND($AW$88,1),""),"")</f>
        <v/>
      </c>
      <c r="BS537" s="271" t="str">
        <f>IF($AZ537="","",$AO$88)</f>
        <v/>
      </c>
      <c r="BT537" s="271" t="str">
        <f>IF(COUNTIFS($AL$86,"&lt;&gt;"&amp;"",$AL$86,"&lt;&gt;practic?*",$AL$86,"&lt;&gt;*op?ional*",$AL$86,"&lt;&gt;*Disciplin? facultativ?*", $AL$86,"&lt;&gt;*Examen de diplom?*"),$AV$88,"")</f>
        <v/>
      </c>
      <c r="BU537" s="126" t="str">
        <f t="shared" si="152"/>
        <v/>
      </c>
      <c r="BV537" s="127" t="str">
        <f t="shared" si="146"/>
        <v/>
      </c>
      <c r="BW537" s="420" t="str">
        <f t="shared" si="116"/>
        <v/>
      </c>
      <c r="BX537" s="124"/>
    </row>
    <row r="538" spans="2:98" ht="21" hidden="1" customHeight="1" x14ac:dyDescent="0.2">
      <c r="D538" s="397">
        <f t="shared" si="147"/>
        <v>0</v>
      </c>
      <c r="F538" s="370">
        <f>$AO$88</f>
        <v>10</v>
      </c>
      <c r="H538" s="370">
        <f>$AQ$88</f>
        <v>0</v>
      </c>
      <c r="I538" s="369">
        <f>$AR$88+$AS$88+$AT$88</f>
        <v>0</v>
      </c>
      <c r="J538" s="126">
        <f t="shared" si="148"/>
        <v>0</v>
      </c>
      <c r="K538" s="311">
        <f>$AU$88</f>
        <v>0</v>
      </c>
      <c r="L538" s="370">
        <f>$AW$88</f>
        <v>0</v>
      </c>
      <c r="N538" s="370">
        <f t="shared" si="149"/>
        <v>0</v>
      </c>
      <c r="O538" s="397" t="b">
        <f t="shared" si="150"/>
        <v>1</v>
      </c>
      <c r="P538" s="405">
        <f t="shared" si="120"/>
        <v>0</v>
      </c>
      <c r="AX538" s="124" t="str">
        <f>$AL$91</f>
        <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0</v>
      </c>
      <c r="F539" s="127">
        <f>$AO$91</f>
        <v>0</v>
      </c>
      <c r="H539" s="127">
        <f>$AQ$91</f>
        <v>0</v>
      </c>
      <c r="I539" s="369">
        <f>$AR$91+$AS$91+$AT$91</f>
        <v>0</v>
      </c>
      <c r="J539" s="126">
        <f t="shared" si="148"/>
        <v>0</v>
      </c>
      <c r="K539" s="311">
        <f>$AU$91</f>
        <v>0</v>
      </c>
      <c r="L539" s="127">
        <f>$AW$91</f>
        <v>0</v>
      </c>
      <c r="N539" s="370">
        <f t="shared" si="149"/>
        <v>0</v>
      </c>
      <c r="O539" s="397" t="b">
        <f t="shared" si="150"/>
        <v>1</v>
      </c>
      <c r="P539" s="405" t="e">
        <f t="shared" si="120"/>
        <v>#DIV/0!</v>
      </c>
      <c r="AX539" s="124" t="str">
        <f>$AL$94</f>
        <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0</v>
      </c>
      <c r="H540" s="370">
        <f>$AQ$94</f>
        <v>0</v>
      </c>
      <c r="I540" s="369">
        <f>$AR$94+$AS$94+$AT$94</f>
        <v>0</v>
      </c>
      <c r="J540" s="126">
        <f t="shared" si="148"/>
        <v>0</v>
      </c>
      <c r="K540" s="311">
        <f>$AU$94</f>
        <v>0</v>
      </c>
      <c r="L540" s="370">
        <f>$AW$94</f>
        <v>0</v>
      </c>
      <c r="N540" s="370">
        <f t="shared" si="149"/>
        <v>0</v>
      </c>
      <c r="O540" s="397" t="b">
        <f t="shared" si="150"/>
        <v>1</v>
      </c>
      <c r="P540" s="405" t="e">
        <f t="shared" si="120"/>
        <v>#DIV/0!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L420.19.08.11-ij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5</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20</v>
      </c>
      <c r="L544" s="49"/>
      <c r="N544" s="372">
        <f>D533*N533+D534*N534+D535*N535+D536*N536+D537*N537+D538*N538+D539*N539+D540*N540+D541*N541+D542*N542+D543*N543</f>
        <v>557</v>
      </c>
      <c r="O544" s="399" t="b">
        <f>AND(O533:O543)</f>
        <v>0</v>
      </c>
      <c r="P544" s="375">
        <f>N544/F544</f>
        <v>27.85</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19" t="s">
        <v>217</v>
      </c>
      <c r="AY545" s="520"/>
      <c r="AZ545" s="520"/>
      <c r="BA545" s="520"/>
      <c r="BB545" s="520"/>
      <c r="BC545" s="520"/>
      <c r="BD545" s="520"/>
      <c r="BE545" s="520"/>
      <c r="BF545" s="520"/>
      <c r="BG545" s="520"/>
      <c r="BH545" s="520"/>
      <c r="BI545" s="520"/>
      <c r="BJ545" s="520"/>
      <c r="BK545" s="520"/>
      <c r="BL545" s="520"/>
      <c r="BM545" s="520"/>
      <c r="BN545" s="520"/>
      <c r="BO545" s="520"/>
      <c r="BP545" s="520"/>
      <c r="BQ545" s="520"/>
      <c r="BR545" s="520"/>
      <c r="BS545" s="520"/>
      <c r="BT545" s="520"/>
      <c r="BU545" s="520"/>
      <c r="BV545" s="521"/>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19" t="s">
        <v>218</v>
      </c>
      <c r="AY559" s="520"/>
      <c r="AZ559" s="520"/>
      <c r="BA559" s="520"/>
      <c r="BB559" s="520"/>
      <c r="BC559" s="520"/>
      <c r="BD559" s="520"/>
      <c r="BE559" s="520"/>
      <c r="BF559" s="520"/>
      <c r="BG559" s="520"/>
      <c r="BH559" s="520"/>
      <c r="BI559" s="520"/>
      <c r="BJ559" s="520"/>
      <c r="BK559" s="520"/>
      <c r="BL559" s="520"/>
      <c r="BM559" s="520"/>
      <c r="BN559" s="520"/>
      <c r="BO559" s="520"/>
      <c r="BP559" s="520"/>
      <c r="BQ559" s="520"/>
      <c r="BR559" s="520"/>
      <c r="BS559" s="520"/>
      <c r="BT559" s="520"/>
      <c r="BU559" s="520"/>
      <c r="BV559" s="521"/>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19" t="s">
        <v>219</v>
      </c>
      <c r="AY572" s="520"/>
      <c r="AZ572" s="520"/>
      <c r="BA572" s="520"/>
      <c r="BB572" s="520"/>
      <c r="BC572" s="520"/>
      <c r="BD572" s="520"/>
      <c r="BE572" s="520"/>
      <c r="BF572" s="520"/>
      <c r="BG572" s="520"/>
      <c r="BH572" s="520"/>
      <c r="BI572" s="520"/>
      <c r="BJ572" s="520"/>
      <c r="BK572" s="520"/>
      <c r="BL572" s="520"/>
      <c r="BM572" s="520"/>
      <c r="BN572" s="520"/>
      <c r="BO572" s="520"/>
      <c r="BP572" s="520"/>
      <c r="BQ572" s="520"/>
      <c r="BR572" s="520"/>
      <c r="BS572" s="520"/>
      <c r="BT572" s="520"/>
      <c r="BU572" s="520"/>
      <c r="BV572" s="521"/>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19" t="s">
        <v>220</v>
      </c>
      <c r="AY585" s="520"/>
      <c r="AZ585" s="520"/>
      <c r="BA585" s="520"/>
      <c r="BB585" s="520"/>
      <c r="BC585" s="520"/>
      <c r="BD585" s="520"/>
      <c r="BE585" s="520"/>
      <c r="BF585" s="520"/>
      <c r="BG585" s="520"/>
      <c r="BH585" s="520"/>
      <c r="BI585" s="520"/>
      <c r="BJ585" s="520"/>
      <c r="BK585" s="520"/>
      <c r="BL585" s="520"/>
      <c r="BM585" s="520"/>
      <c r="BN585" s="520"/>
      <c r="BO585" s="520"/>
      <c r="BP585" s="520"/>
      <c r="BQ585" s="520"/>
      <c r="BR585" s="520"/>
      <c r="BS585" s="520"/>
      <c r="BT585" s="520"/>
      <c r="BU585" s="520"/>
      <c r="BV585" s="521"/>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19" t="s">
        <v>221</v>
      </c>
      <c r="AY598" s="520"/>
      <c r="AZ598" s="520"/>
      <c r="BA598" s="520"/>
      <c r="BB598" s="520"/>
      <c r="BC598" s="520"/>
      <c r="BD598" s="520"/>
      <c r="BE598" s="520"/>
      <c r="BF598" s="520"/>
      <c r="BG598" s="520"/>
      <c r="BH598" s="520"/>
      <c r="BI598" s="520"/>
      <c r="BJ598" s="520"/>
      <c r="BK598" s="520"/>
      <c r="BL598" s="520"/>
      <c r="BM598" s="520"/>
      <c r="BN598" s="520"/>
      <c r="BO598" s="520"/>
      <c r="BP598" s="520"/>
      <c r="BQ598" s="520"/>
      <c r="BR598" s="520"/>
      <c r="BS598" s="520"/>
      <c r="BT598" s="520"/>
      <c r="BU598" s="520"/>
      <c r="BV598" s="521"/>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L420.19.05.S6-01</v>
      </c>
      <c r="AY599" s="127">
        <v>1</v>
      </c>
      <c r="AZ599" s="127" t="str">
        <f>IF(COUNTIFS($B$202,"&lt;&gt;"&amp;""),$B$202,"")</f>
        <v xml:space="preserve">Opțional 1                                                                                                  Logistica fabricatiei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0</v>
      </c>
      <c r="BF599" s="127">
        <f>IF(COUNTIFS($B$202,"&lt;&gt;"&amp;""),ROUND(($H$204+$I$204+$J$204)/14,1),"")</f>
        <v>1</v>
      </c>
      <c r="BG599" s="127">
        <f>IF(COUNTIFS($B$202,"&lt;&gt;"&amp;""),ROUND(($G$204+$H$204+$I$204+$J$204)/14,1),"")</f>
        <v>1</v>
      </c>
      <c r="BH599" s="127">
        <f>IF(COUNTIFS($B$202,"&lt;&gt;"&amp;""),ROUND($G$204,1),"")</f>
        <v>0</v>
      </c>
      <c r="BI599" s="127">
        <f>IF(COUNTIFS($B$202,"&lt;&gt;"&amp;""),ROUND(($H$204+$I$204+$J$204),1),"")</f>
        <v>14</v>
      </c>
      <c r="BJ599" s="127">
        <f>IF(COUNTIFS($B$202,"&lt;&gt;"&amp;""),ROUND(($G$204+$H$204+$I$204+$J$204),1),"")</f>
        <v>14</v>
      </c>
      <c r="BK599" s="127"/>
      <c r="BL599" s="127"/>
      <c r="BM599" s="127"/>
      <c r="BN599" s="127"/>
      <c r="BO599" s="127"/>
      <c r="BP599" s="127"/>
      <c r="BQ599" s="127">
        <f>IF(COUNTIFS($B$202,"&lt;&gt;"&amp;""),IF($M$204&lt;&gt;"",ROUND($M$204/14,1),""),"")</f>
        <v>4.4000000000000004</v>
      </c>
      <c r="BR599" s="127">
        <f>IF(COUNTIFS($B$202,"&lt;&gt;"&amp;""),IF($M$204&lt;&gt;"",ROUND($M$204,1),""),"")</f>
        <v>61</v>
      </c>
      <c r="BS599" s="127">
        <f>IF($AZ599="","",$E$204)</f>
        <v>3</v>
      </c>
      <c r="BT599" s="126" t="str">
        <f>IF(COUNTIFS($B$202,"&lt;&gt;"&amp;""),$L$204,"")</f>
        <v>DD</v>
      </c>
      <c r="BU599" s="126">
        <f>IF($AZ599="","",IF($BG599&lt;&gt;"",$BG599,0)+IF($BM599&lt;&gt;"",$BM599,0)+IF($BQ599&lt;&gt;"",$BQ599,0))</f>
        <v>5.4</v>
      </c>
      <c r="BV599" s="127">
        <f>IF($AZ599="","",IF($BJ599&lt;&gt;"",$BJ599,0)+IF($BP599&lt;&gt;"",$BP599,0)+IF($BR599&lt;&gt;"",$BR599,0))</f>
        <v>75</v>
      </c>
      <c r="BW599" s="420" t="str">
        <f t="shared" si="165"/>
        <v>2021</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L420.19.05.S6-02</v>
      </c>
      <c r="AY600" s="276">
        <v>2</v>
      </c>
      <c r="AZ600" s="127" t="str">
        <f>IF(COUNTIFS($B$205,"&lt;&gt;"&amp;""),$B$205,"")</f>
        <v>Opțional 1 independent                                                                         Prototipare si fabricatie rapida (*)</v>
      </c>
      <c r="BA600" s="127">
        <f t="shared" si="176"/>
        <v>3</v>
      </c>
      <c r="BB600" s="127" t="str">
        <f t="shared" si="177"/>
        <v>5</v>
      </c>
      <c r="BC600" s="127" t="str">
        <f>IF($AZ600="","",$F$207)</f>
        <v>D</v>
      </c>
      <c r="BD600" s="127" t="str">
        <f t="shared" ref="BD600:BD624" si="178">IF($AZ600="","","DO")</f>
        <v>DO</v>
      </c>
      <c r="BE600" s="127">
        <f>IF(COUNTIFS($B$205,"&lt;&gt;"&amp;""),ROUND($G$207/14,1),"")</f>
        <v>0</v>
      </c>
      <c r="BF600" s="127">
        <f>IF(COUNTIFS($B$205,"&lt;&gt;"&amp;""),ROUND(($H$207+$I$207+$J$207)/14,1),"")</f>
        <v>1</v>
      </c>
      <c r="BG600" s="127">
        <f>IF(COUNTIFS($B$205,"&lt;&gt;"&amp;""),ROUND(($G$207+$H$207+$I$207+$J$207)/14,1),"")</f>
        <v>1</v>
      </c>
      <c r="BH600" s="127">
        <f>IF(COUNTIFS($B$205,"&lt;&gt;"&amp;""),ROUND($G$207,1),"")</f>
        <v>0</v>
      </c>
      <c r="BI600" s="127">
        <f>IF(COUNTIFS($B$205,"&lt;&gt;"&amp;""),ROUND(($H$207+$I$207+$J$207),1),"")</f>
        <v>14</v>
      </c>
      <c r="BJ600" s="127">
        <f>IF(COUNTIFS($B$205,"&lt;&gt;"&amp;""),ROUND(($G$207+$H$207+$I$207+$J$207),1),"")</f>
        <v>14</v>
      </c>
      <c r="BK600" s="276"/>
      <c r="BL600" s="127"/>
      <c r="BM600" s="127"/>
      <c r="BN600" s="276"/>
      <c r="BO600" s="127"/>
      <c r="BP600" s="127"/>
      <c r="BQ600" s="127">
        <f>IF(COUNTIFS($B$205,"&lt;&gt;"&amp;""),IF($M$207&lt;&gt;"",ROUND($M$207/14,1),""),"")</f>
        <v>4.4000000000000004</v>
      </c>
      <c r="BR600" s="127">
        <f>IF(COUNTIFS($B$205,"&lt;&gt;"&amp;""),IF($M$207&lt;&gt;"",ROUND($M$207,1),""),"")</f>
        <v>61</v>
      </c>
      <c r="BS600" s="127">
        <f>IF($AZ600="","",$E$207)</f>
        <v>3</v>
      </c>
      <c r="BT600" s="126" t="str">
        <f>IF(COUNTIFS($B$205,"&lt;&gt;"&amp;""),$L$207,"")</f>
        <v>DD</v>
      </c>
      <c r="BU600" s="126">
        <f t="shared" ref="BU600:BU624" si="179">IF($AZ600="","",IF($BG600&lt;&gt;"",$BG600,0)+IF($BM600&lt;&gt;"",$BM600,0)+IF($BQ600&lt;&gt;"",$BQ600,0))</f>
        <v>5.4</v>
      </c>
      <c r="BV600" s="127">
        <f t="shared" ref="BV600:BV624" si="180">IF($AZ600="","",IF($BJ600&lt;&gt;"",$BJ600,0)+IF($BP600&lt;&gt;"",$BP600,0)+IF($BR600&lt;&gt;"",$BR600,0))</f>
        <v>75</v>
      </c>
      <c r="BW600" s="420" t="str">
        <f t="shared" si="165"/>
        <v>2021</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L420.19.05.S7-03</v>
      </c>
      <c r="AY601" s="276">
        <v>3</v>
      </c>
      <c r="AZ601" s="127" t="str">
        <f>IF(COUNTIFS($B$208,"&lt;&gt;"&amp;""),$B$208,"")</f>
        <v>Opțional 2 independent 
Tehnologii de deformare plastică (*)</v>
      </c>
      <c r="BA601" s="127">
        <f t="shared" si="176"/>
        <v>3</v>
      </c>
      <c r="BB601" s="127" t="str">
        <f t="shared" si="177"/>
        <v>5</v>
      </c>
      <c r="BC601" s="127" t="str">
        <f>IF($AZ601="","",$F$210)</f>
        <v>E</v>
      </c>
      <c r="BD601" s="127" t="str">
        <f t="shared" si="178"/>
        <v>DO</v>
      </c>
      <c r="BE601" s="127">
        <f>IF(COUNTIFS($B$208,"&lt;&gt;"&amp;""),ROUND($G$210/14,1),"")</f>
        <v>0</v>
      </c>
      <c r="BF601" s="127">
        <f>IF(COUNTIFS($B$208,"&lt;&gt;"&amp;""),ROUND(($H$210+$I$210+$J$210)/14,1),"")</f>
        <v>2</v>
      </c>
      <c r="BG601" s="127">
        <f>IF(COUNTIFS($B$208,"&lt;&gt;"&amp;""),ROUND(($G$210+$H$210+$I$210+$J$210)/14,1),"")</f>
        <v>2</v>
      </c>
      <c r="BH601" s="127">
        <f>IF(COUNTIFS($B$208,"&lt;&gt;"&amp;""),ROUND($G$210,1),"")</f>
        <v>0</v>
      </c>
      <c r="BI601" s="127">
        <f>IF(COUNTIFS($B$208,"&lt;&gt;"&amp;""),ROUND(($H$210+$I$210+$J$210),1),"")</f>
        <v>28</v>
      </c>
      <c r="BJ601" s="127">
        <f>IF(COUNTIFS($B$208,"&lt;&gt;"&amp;""),ROUND(($G$210+$H$210+$I$210+$J$210),1),"")</f>
        <v>28</v>
      </c>
      <c r="BK601" s="276"/>
      <c r="BL601" s="127"/>
      <c r="BM601" s="127"/>
      <c r="BN601" s="276"/>
      <c r="BO601" s="127"/>
      <c r="BP601" s="127"/>
      <c r="BQ601" s="127">
        <f>IF(COUNTIFS($B$208,"&lt;&gt;"&amp;""),IF($M$210&lt;&gt;"",ROUND($M$210/14,1),""),"")</f>
        <v>5.0999999999999996</v>
      </c>
      <c r="BR601" s="127">
        <f>IF(COUNTIFS($B$208,"&lt;&gt;"&amp;""),IF($M$210&lt;&gt;"",ROUND($M$210,1),""),"")</f>
        <v>72</v>
      </c>
      <c r="BS601" s="127">
        <f>IF($AZ601="","",$E$210)</f>
        <v>4</v>
      </c>
      <c r="BT601" s="126" t="str">
        <f>IF(COUNTIFS($B$208,"&lt;&gt;"&amp;""),$L$210,"")</f>
        <v>DD</v>
      </c>
      <c r="BU601" s="126">
        <f t="shared" si="179"/>
        <v>7.1</v>
      </c>
      <c r="BV601" s="127">
        <f t="shared" si="180"/>
        <v>100</v>
      </c>
      <c r="BW601" s="420" t="str">
        <f t="shared" si="165"/>
        <v>2021</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L420.19.05.S7-04</v>
      </c>
      <c r="AY602" s="276">
        <v>4</v>
      </c>
      <c r="AZ602" s="127" t="str">
        <f>IF(COUNTIFS($B$211,"&lt;&gt;"&amp;""),$B$211,"")</f>
        <v>Opțional 2 independent 
Sisteme de prelucrare prin deformări plastice</v>
      </c>
      <c r="BA602" s="127">
        <f t="shared" si="176"/>
        <v>3</v>
      </c>
      <c r="BB602" s="127" t="str">
        <f t="shared" si="177"/>
        <v>5</v>
      </c>
      <c r="BC602" s="127" t="str">
        <f>IF($AZ602="","",$F$213)</f>
        <v>E</v>
      </c>
      <c r="BD602" s="127" t="str">
        <f t="shared" si="178"/>
        <v>DO</v>
      </c>
      <c r="BE602" s="127">
        <f>IF(COUNTIFS($B$211,"&lt;&gt;"&amp;""),ROUND($G$213/14,1),"")</f>
        <v>0</v>
      </c>
      <c r="BF602" s="127">
        <f>IF(COUNTIFS($B$211,"&lt;&gt;"&amp;""),ROUND(($H$213+$I$213+$J$213)/14,1),"")</f>
        <v>2</v>
      </c>
      <c r="BG602" s="127">
        <f>IF(COUNTIFS($B$211,"&lt;&gt;"&amp;""),ROUND(($G$213+$H$213+$I$213+$J$213)/14,1),"")</f>
        <v>2</v>
      </c>
      <c r="BH602" s="127">
        <f>IF(COUNTIFS($B$211,"&lt;&gt;"&amp;""),ROUND($G$213,1),"")</f>
        <v>0</v>
      </c>
      <c r="BI602" s="127">
        <f>IF(COUNTIFS($B$211,"&lt;&gt;"&amp;""),ROUND(($H$213+$I$213+$J$213),1),"")</f>
        <v>28</v>
      </c>
      <c r="BJ602" s="127">
        <f>IF(COUNTIFS($B$211,"&lt;&gt;"&amp;""),ROUND(($G$213+$H$213+$I$213+$J$213),1),"")</f>
        <v>28</v>
      </c>
      <c r="BK602" s="276"/>
      <c r="BL602" s="127"/>
      <c r="BM602" s="127"/>
      <c r="BN602" s="276"/>
      <c r="BO602" s="127"/>
      <c r="BP602" s="127"/>
      <c r="BQ602" s="127">
        <f>IF(COUNTIFS($B$211,"&lt;&gt;"&amp;""),IF($M$213&lt;&gt;"",ROUND($M$213/14,1),""),"")</f>
        <v>5.0999999999999996</v>
      </c>
      <c r="BR602" s="127">
        <f>IF(COUNTIFS($B$211,"&lt;&gt;"&amp;""),IF($M$213&lt;&gt;"",ROUND($M$213,1),""),"")</f>
        <v>72</v>
      </c>
      <c r="BS602" s="127">
        <f>IF($AZ602="","",$E$213)</f>
        <v>4</v>
      </c>
      <c r="BT602" s="126" t="str">
        <f>IF(COUNTIFS($B$211,"&lt;&gt;"&amp;""),$L$213,"")</f>
        <v>DD</v>
      </c>
      <c r="BU602" s="126">
        <f t="shared" si="179"/>
        <v>7.1</v>
      </c>
      <c r="BV602" s="127">
        <f t="shared" si="180"/>
        <v>100</v>
      </c>
      <c r="BW602" s="420" t="str">
        <f t="shared" si="165"/>
        <v>2021</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19" t="s">
        <v>222</v>
      </c>
      <c r="AY625" s="520"/>
      <c r="AZ625" s="520"/>
      <c r="BA625" s="520"/>
      <c r="BB625" s="520"/>
      <c r="BC625" s="520"/>
      <c r="BD625" s="520"/>
      <c r="BE625" s="520"/>
      <c r="BF625" s="520"/>
      <c r="BG625" s="520"/>
      <c r="BH625" s="520"/>
      <c r="BI625" s="520"/>
      <c r="BJ625" s="520"/>
      <c r="BK625" s="520"/>
      <c r="BL625" s="520"/>
      <c r="BM625" s="520"/>
      <c r="BN625" s="520"/>
      <c r="BO625" s="520"/>
      <c r="BP625" s="520"/>
      <c r="BQ625" s="520"/>
      <c r="BR625" s="520"/>
      <c r="BS625" s="520"/>
      <c r="BT625" s="520"/>
      <c r="BU625" s="520"/>
      <c r="BV625" s="521"/>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L420.19.06.S4-01</v>
      </c>
      <c r="AY626" s="127">
        <v>1</v>
      </c>
      <c r="AZ626" s="127" t="str">
        <f>IF(COUNTIFS($N$202,"&lt;&gt;"&amp;""),$N$202,"")</f>
        <v>Opțional 3 independent 
Selecţia materialelor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0</v>
      </c>
      <c r="BF626" s="127">
        <f>IF(COUNTIFS($N$202,"&lt;&gt;"&amp;""),ROUND(($T$204+$U$204+$V$204)/14,1),"")</f>
        <v>2</v>
      </c>
      <c r="BG626" s="127">
        <f>IF(COUNTIFS($N$202,"&lt;&gt;"&amp;""),ROUND(($S$204+$T$204+$U$204+$V$204)/14,1),"")</f>
        <v>2</v>
      </c>
      <c r="BH626" s="127">
        <f>IF(COUNTIFS($N$202,"&lt;&gt;"&amp;""),ROUND($S$204,1),"")</f>
        <v>0</v>
      </c>
      <c r="BI626" s="127">
        <f>IF(COUNTIFS($N$202,"&lt;&gt;"&amp;""),ROUND(($T$204+$U$204+$V$204),1),"")</f>
        <v>28</v>
      </c>
      <c r="BJ626" s="127">
        <f>IF(COUNTIFS($N$202,"&lt;&gt;"&amp;""),ROUND(($S$204+$T$204+$U$204+$V$204),1),"")</f>
        <v>28</v>
      </c>
      <c r="BK626" s="127"/>
      <c r="BL626" s="127"/>
      <c r="BM626" s="127"/>
      <c r="BN626" s="127"/>
      <c r="BO626" s="127"/>
      <c r="BP626" s="127"/>
      <c r="BQ626" s="127">
        <f>IF(COUNTIFS($N$202,"&lt;&gt;"&amp;""),IF($Y$204&lt;&gt;"",ROUND($Y$204/14,1),""),"")</f>
        <v>3.4</v>
      </c>
      <c r="BR626" s="127">
        <f>IF(COUNTIFS($N$202,"&lt;&gt;"&amp;""),IF($Y$204&lt;&gt;"",ROUND($Y$204,1),""),"")</f>
        <v>47</v>
      </c>
      <c r="BS626" s="127">
        <f>IF($AZ626="","",$Q$204)</f>
        <v>3</v>
      </c>
      <c r="BT626" s="126" t="str">
        <f>IF(COUNTIFS($N$202,"&lt;&gt;"&amp;""),$X$204,"")</f>
        <v>DD</v>
      </c>
      <c r="BU626" s="126">
        <f>IF($AZ626="","",IF($BG626&lt;&gt;"",$BG626,0)+IF($BM626&lt;&gt;"",$BM626,0)+IF($BQ626&lt;&gt;"",$BQ626,0))</f>
        <v>5.4</v>
      </c>
      <c r="BV626" s="127">
        <f>IF($AZ626="","",IF($BJ626&lt;&gt;"",$BJ626,0)+IF($BP626&lt;&gt;"",$BP626,0)+IF($BR626&lt;&gt;"",$BR626,0))</f>
        <v>75</v>
      </c>
      <c r="BW626" s="420" t="str">
        <f t="shared" si="165"/>
        <v>2021</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L420.19.06.S4-02</v>
      </c>
      <c r="AY627" s="276">
        <v>2</v>
      </c>
      <c r="AZ627" s="127" t="str">
        <f>IF(COUNTIFS($N$205,"&lt;&gt;"&amp;""),$N$205,"")</f>
        <v>Opțional 3 independent                                                                        Controlul materialelor</v>
      </c>
      <c r="BA627" s="127">
        <f t="shared" si="181"/>
        <v>3</v>
      </c>
      <c r="BB627" s="127" t="str">
        <f t="shared" si="182"/>
        <v>6</v>
      </c>
      <c r="BC627" s="127" t="str">
        <f>IF($AZ627="","",$R$207)</f>
        <v>D</v>
      </c>
      <c r="BD627" s="127" t="str">
        <f t="shared" ref="BD627:BD637" si="183">IF($AZ627="","","DO")</f>
        <v>DO</v>
      </c>
      <c r="BE627" s="127">
        <f>IF(COUNTIFS($N$205,"&lt;&gt;"&amp;""),ROUND($S$207/14,1),"")</f>
        <v>0</v>
      </c>
      <c r="BF627" s="127">
        <f>IF(COUNTIFS($N$205,"&lt;&gt;"&amp;""),ROUND(($T$207+$U$207+$V$207)/14,1),"")</f>
        <v>2</v>
      </c>
      <c r="BG627" s="127">
        <f>IF(COUNTIFS($N$205,"&lt;&gt;"&amp;""),ROUND(($S$207+$T$207+$U$207+$V$207)/14,1),"")</f>
        <v>2</v>
      </c>
      <c r="BH627" s="127">
        <f>IF(COUNTIFS($N$205,"&lt;&gt;"&amp;""),ROUND($S$207,1),"")</f>
        <v>0</v>
      </c>
      <c r="BI627" s="127">
        <f>IF(COUNTIFS($N$205,"&lt;&gt;"&amp;""),ROUND(($T$207+$U$207+$V$207),1),"")</f>
        <v>28</v>
      </c>
      <c r="BJ627" s="127">
        <f>IF(COUNTIFS($N$205,"&lt;&gt;"&amp;""),ROUND(($S$207+$T$207+$U$207+$V$207),1),"")</f>
        <v>28</v>
      </c>
      <c r="BK627" s="276"/>
      <c r="BL627" s="127"/>
      <c r="BM627" s="127"/>
      <c r="BN627" s="276"/>
      <c r="BO627" s="127"/>
      <c r="BP627" s="127"/>
      <c r="BQ627" s="127">
        <f>IF(COUNTIFS($N$205,"&lt;&gt;"&amp;""),IF($Y$207&lt;&gt;"",ROUND($Y$207/14,1),""),"")</f>
        <v>3.4</v>
      </c>
      <c r="BR627" s="127">
        <f>IF(COUNTIFS($N$205,"&lt;&gt;"&amp;""),IF($Y$207&lt;&gt;"",ROUND($Y$207,1),""),"")</f>
        <v>47</v>
      </c>
      <c r="BS627" s="127">
        <f>IF($AZ627="","",$Q$207)</f>
        <v>3</v>
      </c>
      <c r="BT627" s="126" t="str">
        <f>IF(COUNTIFS($N$205,"&lt;&gt;"&amp;""),$X$207,"")</f>
        <v>DD</v>
      </c>
      <c r="BU627" s="126">
        <f t="shared" ref="BU627:BU637" si="184">IF($AZ627="","",IF($BG627&lt;&gt;"",$BG627,0)+IF($BM627&lt;&gt;"",$BM627,0)+IF($BQ627&lt;&gt;"",$BQ627,0))</f>
        <v>5.4</v>
      </c>
      <c r="BV627" s="127">
        <f t="shared" ref="BV627:BV637" si="185">IF($AZ627="","",IF($BJ627&lt;&gt;"",$BJ627,0)+IF($BP627&lt;&gt;"",$BP627,0)+IF($BR627&lt;&gt;"",$BR627,0))</f>
        <v>75</v>
      </c>
      <c r="BW627" s="420" t="str">
        <f t="shared" si="165"/>
        <v>2021</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L420.19.06.D5-03</v>
      </c>
      <c r="AY628" s="276">
        <v>3</v>
      </c>
      <c r="AZ628" s="127" t="str">
        <f>IF(COUNTIFS($N$208,"&lt;&gt;"&amp;""),$N$208,"")</f>
        <v>Opțional 4 independent
Maşini unelte  (*)</v>
      </c>
      <c r="BA628" s="127">
        <f t="shared" si="181"/>
        <v>3</v>
      </c>
      <c r="BB628" s="127" t="str">
        <f t="shared" si="182"/>
        <v>6</v>
      </c>
      <c r="BC628" s="127" t="str">
        <f>IF($AZ628="","",$R$210)</f>
        <v>E</v>
      </c>
      <c r="BD628" s="127" t="str">
        <f t="shared" si="183"/>
        <v>DO</v>
      </c>
      <c r="BE628" s="127">
        <f>IF(COUNTIFS($N$208,"&lt;&gt;"&amp;""),ROUND($S$210/14,1),"")</f>
        <v>0</v>
      </c>
      <c r="BF628" s="127">
        <f>IF(COUNTIFS($N$208,"&lt;&gt;"&amp;""),ROUND(($T$210+$U$210+$V$210)/14,1),"")</f>
        <v>2</v>
      </c>
      <c r="BG628" s="127">
        <f>IF(COUNTIFS($N$208,"&lt;&gt;"&amp;""),ROUND(($S$210+$T$210+$U$210+$V$210)/14,1),"")</f>
        <v>2</v>
      </c>
      <c r="BH628" s="127">
        <f>IF(COUNTIFS($N$208,"&lt;&gt;"&amp;""),ROUND($S$210,1),"")</f>
        <v>0</v>
      </c>
      <c r="BI628" s="127">
        <f>IF(COUNTIFS($N$208,"&lt;&gt;"&amp;""),ROUND(($T$210+$U$210+$V$210),1),"")</f>
        <v>28</v>
      </c>
      <c r="BJ628" s="127">
        <f>IF(COUNTIFS($N$208,"&lt;&gt;"&amp;""),ROUND(($S$210+$T$210+$U$210+$V$210),1),"")</f>
        <v>28</v>
      </c>
      <c r="BK628" s="276"/>
      <c r="BL628" s="127"/>
      <c r="BM628" s="127"/>
      <c r="BN628" s="276"/>
      <c r="BO628" s="127"/>
      <c r="BP628" s="127"/>
      <c r="BQ628" s="127">
        <f>IF(COUNTIFS($N$208,"&lt;&gt;"&amp;""),IF($Y$210&lt;&gt;"",ROUND($Y$210/14,1),""),"")</f>
        <v>5.0999999999999996</v>
      </c>
      <c r="BR628" s="127">
        <f>IF(COUNTIFS($N$208,"&lt;&gt;"&amp;""),IF($Y$210&lt;&gt;"",ROUND($Y$210,1),""),"")</f>
        <v>72</v>
      </c>
      <c r="BS628" s="127">
        <f>IF($AZ628="","",$Q$210)</f>
        <v>4</v>
      </c>
      <c r="BT628" s="126" t="str">
        <f>IF(COUNTIFS($N$208,"&lt;&gt;"&amp;""),$X$210,"")</f>
        <v>DD</v>
      </c>
      <c r="BU628" s="126">
        <f t="shared" si="184"/>
        <v>7.1</v>
      </c>
      <c r="BV628" s="127">
        <f t="shared" si="185"/>
        <v>100</v>
      </c>
      <c r="BW628" s="420" t="str">
        <f t="shared" si="165"/>
        <v>2021</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L420.19.06.D5-04</v>
      </c>
      <c r="AY629" s="276">
        <v>4</v>
      </c>
      <c r="AZ629" s="127" t="str">
        <f>IF(COUNTIFS($N$211,"&lt;&gt;"&amp;""),$N$211,"")</f>
        <v>Opțional 4 independent 
Sisteme de prelucrare</v>
      </c>
      <c r="BA629" s="127">
        <f t="shared" si="181"/>
        <v>3</v>
      </c>
      <c r="BB629" s="127" t="str">
        <f t="shared" si="182"/>
        <v>6</v>
      </c>
      <c r="BC629" s="127" t="str">
        <f>IF($AZ629="","",$R$213)</f>
        <v>E</v>
      </c>
      <c r="BD629" s="127" t="str">
        <f t="shared" si="183"/>
        <v>DO</v>
      </c>
      <c r="BE629" s="127">
        <f>IF(COUNTIFS($N$211,"&lt;&gt;"&amp;""),ROUND($S$213/14,1),"")</f>
        <v>0</v>
      </c>
      <c r="BF629" s="127">
        <f>IF(COUNTIFS($N$211,"&lt;&gt;"&amp;""),ROUND(($T$213+$U$213+$V$213)/14,1),"")</f>
        <v>2</v>
      </c>
      <c r="BG629" s="127">
        <f>IF(COUNTIFS($N$211,"&lt;&gt;"&amp;""),ROUND(($S$213+$T$213+$U$213+$V$213)/14,1),"")</f>
        <v>2</v>
      </c>
      <c r="BH629" s="127">
        <f>IF(COUNTIFS($N$211,"&lt;&gt;"&amp;""),ROUND($S$213,1),"")</f>
        <v>0</v>
      </c>
      <c r="BI629" s="127">
        <f>IF(COUNTIFS($N$211,"&lt;&gt;"&amp;""),ROUND(($T$213+$U$213+$V$213),1),"")</f>
        <v>28</v>
      </c>
      <c r="BJ629" s="127">
        <f>IF(COUNTIFS($N$211,"&lt;&gt;"&amp;""),ROUND(($S$213+$T$213+$U$213+$V$213),1),"")</f>
        <v>28</v>
      </c>
      <c r="BK629" s="276"/>
      <c r="BL629" s="127"/>
      <c r="BM629" s="127"/>
      <c r="BN629" s="276"/>
      <c r="BO629" s="127"/>
      <c r="BP629" s="127"/>
      <c r="BQ629" s="127">
        <f>IF(COUNTIFS($N$211,"&lt;&gt;"&amp;""),IF($Y$213&lt;&gt;"",ROUND($Y$213/14,1),""),"")</f>
        <v>5.0999999999999996</v>
      </c>
      <c r="BR629" s="127">
        <f>IF(COUNTIFS($N$211,"&lt;&gt;"&amp;""),IF($Y$213&lt;&gt;"",ROUND($Y$213,1),""),"")</f>
        <v>72</v>
      </c>
      <c r="BS629" s="127">
        <f>IF($AZ629="","",$Q$213)</f>
        <v>4</v>
      </c>
      <c r="BT629" s="126" t="str">
        <f>IF(COUNTIFS($N$211,"&lt;&gt;"&amp;""),$X$213,"")</f>
        <v>DD</v>
      </c>
      <c r="BU629" s="126">
        <f t="shared" si="184"/>
        <v>7.1</v>
      </c>
      <c r="BV629" s="127">
        <f t="shared" si="185"/>
        <v>100</v>
      </c>
      <c r="BW629" s="420" t="str">
        <f t="shared" si="165"/>
        <v>2021</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L420.19.06.D6-05</v>
      </c>
      <c r="AY630" s="276">
        <v>5</v>
      </c>
      <c r="AZ630" s="127" t="str">
        <f>IF(COUNTIFS($N$214,"&lt;&gt;"&amp;""),$N$214,"")</f>
        <v>Opțional 5 independent 
Ingineria calităţii (*)</v>
      </c>
      <c r="BA630" s="127">
        <f t="shared" si="181"/>
        <v>3</v>
      </c>
      <c r="BB630" s="127" t="str">
        <f t="shared" si="182"/>
        <v>6</v>
      </c>
      <c r="BC630" s="127" t="str">
        <f>IF($AZ630="","",$R$216)</f>
        <v>E</v>
      </c>
      <c r="BD630" s="127" t="str">
        <f t="shared" si="183"/>
        <v>DO</v>
      </c>
      <c r="BE630" s="127">
        <f>IF(COUNTIFS($N$214,"&lt;&gt;"&amp;""),ROUND($S$216/14,1),"")</f>
        <v>0</v>
      </c>
      <c r="BF630" s="127">
        <f>IF(COUNTIFS($N$214,"&lt;&gt;"&amp;""),ROUND(($T$216+$U$216+$V$216)/14,1),"")</f>
        <v>2</v>
      </c>
      <c r="BG630" s="127">
        <f>IF(COUNTIFS($N$214,"&lt;&gt;"&amp;""),ROUND(($S$216+$T$216+$U$216+$V$216)/14,1),"")</f>
        <v>2</v>
      </c>
      <c r="BH630" s="127">
        <f>IF(COUNTIFS($N$214,"&lt;&gt;"&amp;""),ROUND($S$216,1),"")</f>
        <v>0</v>
      </c>
      <c r="BI630" s="127">
        <f>IF(COUNTIFS($N$214,"&lt;&gt;"&amp;""),ROUND(($T$216+$U$216+$V$216),1),"")</f>
        <v>28</v>
      </c>
      <c r="BJ630" s="127">
        <f>IF(COUNTIFS($N$214,"&lt;&gt;"&amp;""),ROUND(($S$216+$T$216+$U$216+$V$216),1),"")</f>
        <v>28</v>
      </c>
      <c r="BK630" s="276"/>
      <c r="BL630" s="127"/>
      <c r="BM630" s="127"/>
      <c r="BN630" s="276"/>
      <c r="BO630" s="127"/>
      <c r="BP630" s="127"/>
      <c r="BQ630" s="127">
        <f>IF(COUNTIFS($N$214,"&lt;&gt;"&amp;""),IF($Y$216&lt;&gt;"",ROUND($Y$216/14,1),""),"")</f>
        <v>5.0999999999999996</v>
      </c>
      <c r="BR630" s="127">
        <f>IF(COUNTIFS($N$214,"&lt;&gt;"&amp;""),IF($Y$216&lt;&gt;"",ROUND($Y$216,1),""),"")</f>
        <v>72</v>
      </c>
      <c r="BS630" s="127">
        <f>IF($AZ630="","",$Q$216)</f>
        <v>4</v>
      </c>
      <c r="BT630" s="126" t="str">
        <f>IF(COUNTIFS($N$214,"&lt;&gt;"&amp;""),$X$216,"")</f>
        <v>DD</v>
      </c>
      <c r="BU630" s="126">
        <f t="shared" si="184"/>
        <v>7.1</v>
      </c>
      <c r="BV630" s="127">
        <f t="shared" si="185"/>
        <v>100</v>
      </c>
      <c r="BW630" s="420" t="str">
        <f t="shared" si="165"/>
        <v>2021</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L420.19.06.D6-06</v>
      </c>
      <c r="AY631" s="276">
        <v>6</v>
      </c>
      <c r="AZ631" s="127" t="str">
        <f>IF(COUNTIFS($N$217,"&lt;&gt;"&amp;""),$N$217,"")</f>
        <v>Opțional 5 independent                                                              Managementul calităţii</v>
      </c>
      <c r="BA631" s="127">
        <f t="shared" si="181"/>
        <v>3</v>
      </c>
      <c r="BB631" s="127" t="str">
        <f t="shared" si="182"/>
        <v>6</v>
      </c>
      <c r="BC631" s="127" t="str">
        <f>IF($AZ631="","",$R$219)</f>
        <v>E</v>
      </c>
      <c r="BD631" s="127" t="str">
        <f t="shared" si="183"/>
        <v>DO</v>
      </c>
      <c r="BE631" s="127">
        <f>IF(COUNTIFS($N$217,"&lt;&gt;"&amp;""),ROUND($S$219/14,1),"")</f>
        <v>0</v>
      </c>
      <c r="BF631" s="127">
        <f>IF(COUNTIFS($N$217,"&lt;&gt;"&amp;""),ROUND(($T$219+$U$219+$V$219)/14,1),"")</f>
        <v>2</v>
      </c>
      <c r="BG631" s="127">
        <f>IF(COUNTIFS($N$217,"&lt;&gt;"&amp;""),ROUND(($S$219+$T$219+$U$219+$V$219)/14,1),"")</f>
        <v>2</v>
      </c>
      <c r="BH631" s="127">
        <f>IF(COUNTIFS($N$217,"&lt;&gt;"&amp;""),ROUND($S$219,1),"")</f>
        <v>0</v>
      </c>
      <c r="BI631" s="127">
        <f>IF(COUNTIFS($N$217,"&lt;&gt;"&amp;""),ROUND(($T$219+$U$219+$V$219),1),"")</f>
        <v>28</v>
      </c>
      <c r="BJ631" s="127">
        <f>IF(COUNTIFS($N$217,"&lt;&gt;"&amp;""),ROUND(($S$219+$T$219+$U$219+$V$219),1),"")</f>
        <v>28</v>
      </c>
      <c r="BK631" s="276"/>
      <c r="BL631" s="127"/>
      <c r="BM631" s="127"/>
      <c r="BN631" s="276"/>
      <c r="BO631" s="127"/>
      <c r="BP631" s="127"/>
      <c r="BQ631" s="127">
        <f>IF(COUNTIFS($N$217,"&lt;&gt;"&amp;""),IF($Y$219&lt;&gt;"",ROUND($Y$219/14,1),""),"")</f>
        <v>5.0999999999999996</v>
      </c>
      <c r="BR631" s="127">
        <f>IF(COUNTIFS($N$217,"&lt;&gt;"&amp;""),IF($Y$219&lt;&gt;"",ROUND($Y$219,1),""),"")</f>
        <v>72</v>
      </c>
      <c r="BS631" s="127">
        <f>IF($AZ631="","",$Q$219)</f>
        <v>4</v>
      </c>
      <c r="BT631" s="126" t="str">
        <f>IF(COUNTIFS($N$217,"&lt;&gt;"&amp;""),$X$219,"")</f>
        <v>DD</v>
      </c>
      <c r="BU631" s="126">
        <f t="shared" si="184"/>
        <v>7.1</v>
      </c>
      <c r="BV631" s="127">
        <f t="shared" si="185"/>
        <v>100</v>
      </c>
      <c r="BW631" s="420" t="str">
        <f t="shared" si="165"/>
        <v>2021</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L420.19.06.S7-07</v>
      </c>
      <c r="AY632" s="276">
        <v>7</v>
      </c>
      <c r="AZ632" s="127" t="str">
        <f>IF(COUNTIFS($N$220,"&lt;&gt;"&amp;""),$N$220,"")</f>
        <v>Opțional 6 independent  
Acoperiri termice şi recondiţonări (*)</v>
      </c>
      <c r="BA632" s="127">
        <f t="shared" si="181"/>
        <v>3</v>
      </c>
      <c r="BB632" s="127" t="str">
        <f t="shared" si="182"/>
        <v>6</v>
      </c>
      <c r="BC632" s="127" t="str">
        <f>IF($AZ632="","",$R$222)</f>
        <v>E</v>
      </c>
      <c r="BD632" s="127" t="str">
        <f t="shared" si="183"/>
        <v>DO</v>
      </c>
      <c r="BE632" s="127">
        <f>IF(COUNTIFS($N$220,"&lt;&gt;"&amp;""),ROUND($S$222/14,1),"")</f>
        <v>0</v>
      </c>
      <c r="BF632" s="127">
        <f>IF(COUNTIFS($N$220,"&lt;&gt;"&amp;""),ROUND(($T$222+$U$222+$V$222)/14,1),"")</f>
        <v>2</v>
      </c>
      <c r="BG632" s="127">
        <f>IF(COUNTIFS($N$220,"&lt;&gt;"&amp;""),ROUND(($S$222+$T$222+$U$222+$V$222)/14,1),"")</f>
        <v>2</v>
      </c>
      <c r="BH632" s="127">
        <f>IF(COUNTIFS($N$220,"&lt;&gt;"&amp;""),ROUND($S$222,1),"")</f>
        <v>0</v>
      </c>
      <c r="BI632" s="127">
        <f>IF(COUNTIFS($N$220,"&lt;&gt;"&amp;""),ROUND(($T$222+$U$222+$V$222),1),"")</f>
        <v>28</v>
      </c>
      <c r="BJ632" s="127">
        <f>IF(COUNTIFS($N$220,"&lt;&gt;"&amp;""),ROUND(($S$222+$T$222+$U$222+$V$222),1),"")</f>
        <v>28</v>
      </c>
      <c r="BK632" s="276"/>
      <c r="BL632" s="127"/>
      <c r="BM632" s="127"/>
      <c r="BN632" s="276"/>
      <c r="BO632" s="127"/>
      <c r="BP632" s="127"/>
      <c r="BQ632" s="127">
        <f>IF(COUNTIFS($N$220,"&lt;&gt;"&amp;""),IF($Y$222&lt;&gt;"",ROUND($Y$222/14,1),""),"")</f>
        <v>5.0999999999999996</v>
      </c>
      <c r="BR632" s="127">
        <f>IF(COUNTIFS($N$220,"&lt;&gt;"&amp;""),IF($Y$222&lt;&gt;"",ROUND($Y$222,1),""),"")</f>
        <v>72</v>
      </c>
      <c r="BS632" s="127">
        <f>IF($AZ632="","",$Q$222)</f>
        <v>4</v>
      </c>
      <c r="BT632" s="126" t="str">
        <f>IF(COUNTIFS($N$220,"&lt;&gt;"&amp;""),$X$222,"")</f>
        <v>DS</v>
      </c>
      <c r="BU632" s="126">
        <f t="shared" si="184"/>
        <v>7.1</v>
      </c>
      <c r="BV632" s="127">
        <f t="shared" si="185"/>
        <v>100</v>
      </c>
      <c r="BW632" s="420" t="str">
        <f t="shared" si="165"/>
        <v>2021</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L420.19.06.S7-08</v>
      </c>
      <c r="AY633" s="276">
        <v>8</v>
      </c>
      <c r="AZ633" s="127" t="str">
        <f>IF(COUNTIFS($N$223,"&lt;&gt;"&amp;""),$N$223,"")</f>
        <v>Opțional 6 independent  
Protecţii anticorozive</v>
      </c>
      <c r="BA633" s="127">
        <f t="shared" si="181"/>
        <v>3</v>
      </c>
      <c r="BB633" s="127" t="str">
        <f t="shared" si="182"/>
        <v>6</v>
      </c>
      <c r="BC633" s="127" t="str">
        <f>IF($AZ633="","",$R$225)</f>
        <v>E</v>
      </c>
      <c r="BD633" s="127" t="str">
        <f t="shared" si="183"/>
        <v>DO</v>
      </c>
      <c r="BE633" s="127">
        <f>IF(COUNTIFS($N$223,"&lt;&gt;"&amp;""),ROUND($S$225/14,1),"")</f>
        <v>0</v>
      </c>
      <c r="BF633" s="127">
        <f>IF(COUNTIFS($N$223,"&lt;&gt;"&amp;""),ROUND(($T$225+$U$225+$V$225)/14,1),"")</f>
        <v>2</v>
      </c>
      <c r="BG633" s="127">
        <f>IF(COUNTIFS($N$223,"&lt;&gt;"&amp;""),ROUND(($S$225+$T$225+$U$225+$V$225)/14,1),"")</f>
        <v>2</v>
      </c>
      <c r="BH633" s="127">
        <f>IF(COUNTIFS($N$223,"&lt;&gt;"&amp;""),ROUND($S$225,1),"")</f>
        <v>0</v>
      </c>
      <c r="BI633" s="127">
        <f>IF(COUNTIFS($N$223,"&lt;&gt;"&amp;""),ROUND(($T$225+$U$225+$V$225),1),"")</f>
        <v>28</v>
      </c>
      <c r="BJ633" s="127">
        <f>IF(COUNTIFS($N$223,"&lt;&gt;"&amp;""),ROUND(($S$225+$T$225+$U$225+$V$225),1),"")</f>
        <v>28</v>
      </c>
      <c r="BK633" s="276"/>
      <c r="BL633" s="127"/>
      <c r="BM633" s="127"/>
      <c r="BN633" s="276"/>
      <c r="BO633" s="127"/>
      <c r="BP633" s="127"/>
      <c r="BQ633" s="127">
        <f>IF(COUNTIFS($N$223,"&lt;&gt;"&amp;""),IF($Y$225&lt;&gt;"",ROUND($Y$225/14,1),""),"")</f>
        <v>5.0999999999999996</v>
      </c>
      <c r="BR633" s="127">
        <f>IF(COUNTIFS($N$223,"&lt;&gt;"&amp;""),IF($Y$225&lt;&gt;"",ROUND($Y$225,1),""),"")</f>
        <v>72</v>
      </c>
      <c r="BS633" s="127">
        <f>IF($AZ633="","",$Q$225)</f>
        <v>4</v>
      </c>
      <c r="BT633" s="126" t="str">
        <f>IF(COUNTIFS($N$223,"&lt;&gt;"&amp;""),$X$225,"")</f>
        <v>DS</v>
      </c>
      <c r="BU633" s="126">
        <f t="shared" si="184"/>
        <v>7.1</v>
      </c>
      <c r="BV633" s="127">
        <f t="shared" si="185"/>
        <v>100</v>
      </c>
      <c r="BW633" s="420" t="str">
        <f t="shared" si="165"/>
        <v>2021</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19" t="s">
        <v>223</v>
      </c>
      <c r="AY652" s="520"/>
      <c r="AZ652" s="520"/>
      <c r="BA652" s="520"/>
      <c r="BB652" s="520"/>
      <c r="BC652" s="520"/>
      <c r="BD652" s="520"/>
      <c r="BE652" s="520"/>
      <c r="BF652" s="520"/>
      <c r="BG652" s="520"/>
      <c r="BH652" s="520"/>
      <c r="BI652" s="520"/>
      <c r="BJ652" s="520"/>
      <c r="BK652" s="520"/>
      <c r="BL652" s="520"/>
      <c r="BM652" s="520"/>
      <c r="BN652" s="520"/>
      <c r="BO652" s="520"/>
      <c r="BP652" s="520"/>
      <c r="BQ652" s="520"/>
      <c r="BR652" s="520"/>
      <c r="BS652" s="520"/>
      <c r="BT652" s="520"/>
      <c r="BU652" s="520"/>
      <c r="BV652" s="521"/>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L420.19.07.S1-01</v>
      </c>
      <c r="AY653" s="127">
        <v>1</v>
      </c>
      <c r="AZ653" s="127" t="str">
        <f>IF(COUNTIFS($Z$202,"&lt;&gt;"&amp;""),$Z$202,"")</f>
        <v>Opțional 7 independent 
Tehnologia fabricarii produselor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0</v>
      </c>
      <c r="BF653" s="127">
        <f>IF(COUNTIFS($Z$202,"&lt;&gt;"&amp;""),ROUND(($AF$204+$AG$204+$AH$204)/14,1),"")</f>
        <v>2</v>
      </c>
      <c r="BG653" s="127">
        <f>IF(COUNTIFS($Z$202,"&lt;&gt;"&amp;""),ROUND(($AE$204+$AF$204+$AG$204+$AH$204)/14,1),"")</f>
        <v>2</v>
      </c>
      <c r="BH653" s="127">
        <f>IF(COUNTIFS($Z$202,"&lt;&gt;"&amp;""),ROUND($AE$204,1),"")</f>
        <v>0</v>
      </c>
      <c r="BI653" s="127">
        <f>IF(COUNTIFS($Z$202,"&lt;&gt;"&amp;""),ROUND(($AF$204+$AG$204+$AH$204),1),"")</f>
        <v>28</v>
      </c>
      <c r="BJ653" s="127">
        <f>IF(COUNTIFS($Z$202,"&lt;&gt;"&amp;""),ROUND(($AE$204+$AF$204+$AG$204+$AH$204),1),"")</f>
        <v>28</v>
      </c>
      <c r="BK653" s="127"/>
      <c r="BL653" s="127"/>
      <c r="BM653" s="127"/>
      <c r="BN653" s="127"/>
      <c r="BO653" s="127"/>
      <c r="BP653" s="127"/>
      <c r="BQ653" s="127">
        <f>IF(COUNTIFS($Z$202,"&lt;&gt;"&amp;""),IF($AK$204&lt;&gt;"",ROUND($AK$204/14,1),""),"")</f>
        <v>6.9</v>
      </c>
      <c r="BR653" s="127">
        <f>IF(COUNTIFS($Z$202,"&lt;&gt;"&amp;""),IF($AK$204&lt;&gt;"",ROUND($AK$204,1),""),"")</f>
        <v>97</v>
      </c>
      <c r="BS653" s="127">
        <f>IF($AZ653="","",$AC$204)</f>
        <v>5</v>
      </c>
      <c r="BT653" s="126" t="str">
        <f>IF(COUNTIFS($Z$202,"&lt;&gt;"&amp;""),$AJ$204,"")</f>
        <v>DS</v>
      </c>
      <c r="BU653" s="126">
        <f>IF($AZ653="","",IF($BG653&lt;&gt;"",$BG653,0)+IF($BM653&lt;&gt;"",$BM653,0)+IF($BQ653&lt;&gt;"",$BQ653,0))</f>
        <v>8.9</v>
      </c>
      <c r="BV653" s="127">
        <f>IF($AZ653="","",IF($BJ653&lt;&gt;"",$BJ653,0)+IF($BP653&lt;&gt;"",$BP653,0)+IF($BR653&lt;&gt;"",$BR653,0))</f>
        <v>125</v>
      </c>
      <c r="BW653" s="420" t="str">
        <f t="shared" si="186"/>
        <v>2022</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L420.19.07.S1-02</v>
      </c>
      <c r="AY654" s="276">
        <v>2</v>
      </c>
      <c r="AZ654" s="127" t="str">
        <f>IF(COUNTIFS($Z$205,"&lt;&gt;"&amp;""),$Z$205,"")</f>
        <v>Opțional 7 independent 
Tehnologia constructiei de masini</v>
      </c>
      <c r="BA654" s="127">
        <f t="shared" si="190"/>
        <v>4</v>
      </c>
      <c r="BB654" s="127" t="str">
        <f t="shared" si="191"/>
        <v>7</v>
      </c>
      <c r="BC654" s="127" t="str">
        <f>IF($AZ654="","",$AD$207)</f>
        <v>E</v>
      </c>
      <c r="BD654" s="127" t="str">
        <f t="shared" ref="BD654:BD664" si="192">IF($AZ654="","","DO")</f>
        <v>DO</v>
      </c>
      <c r="BE654" s="127">
        <f>IF(COUNTIFS($Z$205,"&lt;&gt;"&amp;""),ROUND($AE$207/14,1),"")</f>
        <v>0</v>
      </c>
      <c r="BF654" s="127">
        <f>IF(COUNTIFS($Z$205,"&lt;&gt;"&amp;""),ROUND(($AF$207+$AG$207+$AH$207)/14,1),"")</f>
        <v>2</v>
      </c>
      <c r="BG654" s="127">
        <f>IF(COUNTIFS($Z$205,"&lt;&gt;"&amp;""),ROUND(($AE$207+$AF$207+$AG$207+$AH$207)/14,1),"")</f>
        <v>2</v>
      </c>
      <c r="BH654" s="127">
        <f>IF(COUNTIFS($Z$205,"&lt;&gt;"&amp;""),ROUND($AE$207,1),"")</f>
        <v>0</v>
      </c>
      <c r="BI654" s="127">
        <f>IF(COUNTIFS($Z$205,"&lt;&gt;"&amp;""),ROUND(($AF$207+$AG$207+$AH$207),1),"")</f>
        <v>28</v>
      </c>
      <c r="BJ654" s="127">
        <f>IF(COUNTIFS($Z$205,"&lt;&gt;"&amp;""),ROUND(($AE$207+$AF$207+$AG$207+$AH$207),1),"")</f>
        <v>28</v>
      </c>
      <c r="BK654" s="276"/>
      <c r="BL654" s="127"/>
      <c r="BM654" s="127"/>
      <c r="BN654" s="276"/>
      <c r="BO654" s="127"/>
      <c r="BP654" s="127"/>
      <c r="BQ654" s="127">
        <f>IF(COUNTIFS($Z$205,"&lt;&gt;"&amp;""),IF($AK$207&lt;&gt;"",ROUND($AK$207/14,1),""),"")</f>
        <v>6.9</v>
      </c>
      <c r="BR654" s="127">
        <f>IF(COUNTIFS($Z$205,"&lt;&gt;"&amp;""),IF($AK$207&lt;&gt;"",ROUND($AK$207,1),""),"")</f>
        <v>97</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20" t="str">
        <f t="shared" si="186"/>
        <v>2022</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L420.19.07.S2-03</v>
      </c>
      <c r="AY655" s="276">
        <v>3</v>
      </c>
      <c r="AZ655" s="127" t="str">
        <f>IF(COUNTIFS($Z$208,"&lt;&gt;"&amp;""),$Z$208,"")</f>
        <v>Opțional 8 independent 
Servomecanisme, traductori si senzori  (*)</v>
      </c>
      <c r="BA655" s="127">
        <f t="shared" si="190"/>
        <v>4</v>
      </c>
      <c r="BB655" s="127" t="str">
        <f t="shared" si="191"/>
        <v>7</v>
      </c>
      <c r="BC655" s="127" t="str">
        <f>IF($AZ655="","",$AD$210)</f>
        <v>E</v>
      </c>
      <c r="BD655" s="127" t="str">
        <f t="shared" si="192"/>
        <v>DO</v>
      </c>
      <c r="BE655" s="127">
        <f>IF(COUNTIFS($Z$208,"&lt;&gt;"&amp;""),ROUND($AE$210/14,1),"")</f>
        <v>0</v>
      </c>
      <c r="BF655" s="127">
        <f>IF(COUNTIFS($Z$208,"&lt;&gt;"&amp;""),ROUND(($AF$210+$AG$210+$AH$210)/14,1),"")</f>
        <v>2</v>
      </c>
      <c r="BG655" s="127">
        <f>IF(COUNTIFS($Z$208,"&lt;&gt;"&amp;""),ROUND(($AE$210+$AF$210+$AG$210+$AH$210)/14,1),"")</f>
        <v>2</v>
      </c>
      <c r="BH655" s="127">
        <f>IF(COUNTIFS($Z$208,"&lt;&gt;"&amp;""),ROUND($AE$210,1),"")</f>
        <v>0</v>
      </c>
      <c r="BI655" s="127">
        <f>IF(COUNTIFS($Z$208,"&lt;&gt;"&amp;""),ROUND(($AF$210+$AG$210+$AH$210),1),"")</f>
        <v>28</v>
      </c>
      <c r="BJ655" s="127">
        <f>IF(COUNTIFS($Z$208,"&lt;&gt;"&amp;""),ROUND(($AE$210+$AF$210+$AG$210+$AH$210),1),"")</f>
        <v>28</v>
      </c>
      <c r="BK655" s="276"/>
      <c r="BL655" s="127"/>
      <c r="BM655" s="127"/>
      <c r="BN655" s="276"/>
      <c r="BO655" s="127"/>
      <c r="BP655" s="127"/>
      <c r="BQ655" s="127">
        <f>IF(COUNTIFS($Z$208,"&lt;&gt;"&amp;""),IF($AK$210&lt;&gt;"",ROUND($AK$210/14,1),""),"")</f>
        <v>6.9</v>
      </c>
      <c r="BR655" s="127">
        <f>IF(COUNTIFS($Z$208,"&lt;&gt;"&amp;""),IF($AK$210&lt;&gt;"",ROUND($AK$210,1),""),"")</f>
        <v>97</v>
      </c>
      <c r="BS655" s="127">
        <f>IF($AZ655="","",$AC$210)</f>
        <v>5</v>
      </c>
      <c r="BT655" s="126" t="str">
        <f>IF(COUNTIFS($Z$208,"&lt;&gt;"&amp;""),$AJ$210,"")</f>
        <v>DS</v>
      </c>
      <c r="BU655" s="126">
        <f t="shared" si="193"/>
        <v>8.9</v>
      </c>
      <c r="BV655" s="127">
        <f t="shared" si="194"/>
        <v>125</v>
      </c>
      <c r="BW655" s="420" t="str">
        <f t="shared" si="186"/>
        <v>2022</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L420.19.07.S2-04</v>
      </c>
      <c r="AY656" s="276">
        <v>4</v>
      </c>
      <c r="AZ656" s="127" t="str">
        <f>IF(COUNTIFS($Z$211,"&lt;&gt;"&amp;""),$Z$211,"")</f>
        <v>Opțional 8 independent 
Actionarea utilajelor de prelucrare</v>
      </c>
      <c r="BA656" s="127">
        <f t="shared" si="190"/>
        <v>4</v>
      </c>
      <c r="BB656" s="127" t="str">
        <f t="shared" si="191"/>
        <v>7</v>
      </c>
      <c r="BC656" s="127" t="str">
        <f>IF($AZ656="","",$AD$213)</f>
        <v>E</v>
      </c>
      <c r="BD656" s="127" t="str">
        <f t="shared" si="192"/>
        <v>DO</v>
      </c>
      <c r="BE656" s="127">
        <f>IF(COUNTIFS($Z$211,"&lt;&gt;"&amp;""),ROUND($AE$213/14,1),"")</f>
        <v>0</v>
      </c>
      <c r="BF656" s="127">
        <f>IF(COUNTIFS($Z$211,"&lt;&gt;"&amp;""),ROUND(($AF$213+$AG$213+$AH$213)/14,1),"")</f>
        <v>2</v>
      </c>
      <c r="BG656" s="127">
        <f>IF(COUNTIFS($Z$211,"&lt;&gt;"&amp;""),ROUND(($AE$213+$AF$213+$AG$213+$AH$213)/14,1),"")</f>
        <v>2</v>
      </c>
      <c r="BH656" s="127">
        <f>IF(COUNTIFS($Z$211,"&lt;&gt;"&amp;""),ROUND($AE$213,1),"")</f>
        <v>0</v>
      </c>
      <c r="BI656" s="127">
        <f>IF(COUNTIFS($Z$211,"&lt;&gt;"&amp;""),ROUND(($AF$213+$AG$213+$AH$213),1),"")</f>
        <v>28</v>
      </c>
      <c r="BJ656" s="127">
        <f>IF(COUNTIFS($Z$211,"&lt;&gt;"&amp;""),ROUND(($AE$213+$AF$213+$AG$213+$AH$213),1),"")</f>
        <v>28</v>
      </c>
      <c r="BK656" s="276"/>
      <c r="BL656" s="127"/>
      <c r="BM656" s="127"/>
      <c r="BN656" s="276"/>
      <c r="BO656" s="127"/>
      <c r="BP656" s="127"/>
      <c r="BQ656" s="127">
        <f>IF(COUNTIFS($Z$211,"&lt;&gt;"&amp;""),IF($AK$213&lt;&gt;"",ROUND($AK$213/14,1),""),"")</f>
        <v>6.9</v>
      </c>
      <c r="BR656" s="127">
        <f>IF(COUNTIFS($Z$211,"&lt;&gt;"&amp;""),IF($AK$213&lt;&gt;"",ROUND($AK$213,1),""),"")</f>
        <v>97</v>
      </c>
      <c r="BS656" s="127">
        <f>IF($AZ656="","",$AC$213)</f>
        <v>5</v>
      </c>
      <c r="BT656" s="126" t="str">
        <f>IF(COUNTIFS($Z$211,"&lt;&gt;"&amp;""),$AJ$213,"")</f>
        <v>DS</v>
      </c>
      <c r="BU656" s="126">
        <f t="shared" si="193"/>
        <v>8.9</v>
      </c>
      <c r="BV656" s="127">
        <f t="shared" si="194"/>
        <v>125</v>
      </c>
      <c r="BW656" s="420" t="str">
        <f t="shared" si="186"/>
        <v>2022</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L420.19.07.S3-05</v>
      </c>
      <c r="AY657" s="276">
        <v>5</v>
      </c>
      <c r="AZ657" s="127" t="str">
        <f>IF(COUNTIFS($Z$214,"&lt;&gt;"&amp;""),$Z$214,"")</f>
        <v>Opțional 9 independent 
Inovare si comunicare profesionala (*)</v>
      </c>
      <c r="BA657" s="127">
        <f t="shared" si="190"/>
        <v>4</v>
      </c>
      <c r="BB657" s="127" t="str">
        <f t="shared" si="191"/>
        <v>7</v>
      </c>
      <c r="BC657" s="127" t="str">
        <f>IF($AZ657="","",$AD$216)</f>
        <v>D</v>
      </c>
      <c r="BD657" s="127" t="str">
        <f t="shared" si="192"/>
        <v>DO</v>
      </c>
      <c r="BE657" s="127">
        <f>IF(COUNTIFS($Z$214,"&lt;&gt;"&amp;""),ROUND($AE$216/14,1),"")</f>
        <v>0</v>
      </c>
      <c r="BF657" s="127">
        <f>IF(COUNTIFS($Z$214,"&lt;&gt;"&amp;""),ROUND(($AF$216+$AG$216+$AH$216)/14,1),"")</f>
        <v>2</v>
      </c>
      <c r="BG657" s="127">
        <f>IF(COUNTIFS($Z$214,"&lt;&gt;"&amp;""),ROUND(($AE$216+$AF$216+$AG$216+$AH$216)/14,1),"")</f>
        <v>2</v>
      </c>
      <c r="BH657" s="127">
        <f>IF(COUNTIFS($Z$214,"&lt;&gt;"&amp;""),ROUND($AE$216,1),"")</f>
        <v>0</v>
      </c>
      <c r="BI657" s="127">
        <f>IF(COUNTIFS($Z$214,"&lt;&gt;"&amp;""),ROUND(($AF$216+$AG$216+$AH$216),1),"")</f>
        <v>28</v>
      </c>
      <c r="BJ657" s="127">
        <f>IF(COUNTIFS($Z$214,"&lt;&gt;"&amp;""),ROUND(($AE$216+$AF$216+$AG$216+$AH$216),1),"")</f>
        <v>28</v>
      </c>
      <c r="BK657" s="276"/>
      <c r="BL657" s="127"/>
      <c r="BM657" s="127"/>
      <c r="BN657" s="276"/>
      <c r="BO657" s="127"/>
      <c r="BP657" s="127"/>
      <c r="BQ657" s="127">
        <f>IF(COUNTIFS($Z$214,"&lt;&gt;"&amp;""),IF($AK$216&lt;&gt;"",ROUND($AK$216/14,1),""),"")</f>
        <v>5.0999999999999996</v>
      </c>
      <c r="BR657" s="127">
        <f>IF(COUNTIFS($Z$214,"&lt;&gt;"&amp;""),IF($AK$216&lt;&gt;"",ROUND($AK$216,1),""),"")</f>
        <v>72</v>
      </c>
      <c r="BS657" s="127">
        <f>IF($AZ657="","",$AC$216)</f>
        <v>4</v>
      </c>
      <c r="BT657" s="126" t="str">
        <f>IF(COUNTIFS($Z$214,"&lt;&gt;"&amp;""),$AJ$216,"")</f>
        <v>DS</v>
      </c>
      <c r="BU657" s="126">
        <f t="shared" si="193"/>
        <v>7.1</v>
      </c>
      <c r="BV657" s="127">
        <f t="shared" si="194"/>
        <v>100</v>
      </c>
      <c r="BW657" s="420" t="str">
        <f t="shared" si="186"/>
        <v>2022</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L420.19.07.S3-06</v>
      </c>
      <c r="AY658" s="276">
        <v>6</v>
      </c>
      <c r="AZ658" s="127" t="str">
        <f>IF(COUNTIFS($Z$217,"&lt;&gt;"&amp;""),$Z$217,"")</f>
        <v>Opțional 9 independent 
Creativitate tehnica si analiza valorii</v>
      </c>
      <c r="BA658" s="127">
        <f t="shared" si="190"/>
        <v>4</v>
      </c>
      <c r="BB658" s="127" t="str">
        <f t="shared" si="191"/>
        <v>7</v>
      </c>
      <c r="BC658" s="127" t="str">
        <f>IF($AZ658="","",$AD$219)</f>
        <v>D</v>
      </c>
      <c r="BD658" s="127" t="str">
        <f t="shared" si="192"/>
        <v>DO</v>
      </c>
      <c r="BE658" s="127">
        <f>IF(COUNTIFS($Z$217,"&lt;&gt;"&amp;""),ROUND($AE$219/14,1),"")</f>
        <v>0</v>
      </c>
      <c r="BF658" s="127">
        <f>IF(COUNTIFS($Z$217,"&lt;&gt;"&amp;""),ROUND(($AF$219+$AG$219+$AH$219)/14,1),"")</f>
        <v>2</v>
      </c>
      <c r="BG658" s="127">
        <f>IF(COUNTIFS($Z$217,"&lt;&gt;"&amp;""),ROUND(($AE$219+$AF$219+$AG$219+$AH$219)/14,1),"")</f>
        <v>2</v>
      </c>
      <c r="BH658" s="127">
        <f>IF(COUNTIFS($Z$217,"&lt;&gt;"&amp;""),ROUND($AE$219,1),"")</f>
        <v>0</v>
      </c>
      <c r="BI658" s="127">
        <f>IF(COUNTIFS($Z$217,"&lt;&gt;"&amp;""),ROUND(($AF$219+$AG$219+$AH$219),1),"")</f>
        <v>28</v>
      </c>
      <c r="BJ658" s="127">
        <f>IF(COUNTIFS($Z$217,"&lt;&gt;"&amp;""),ROUND(($AE$219+$AF$219+$AG$219+$AH$219),1),"")</f>
        <v>28</v>
      </c>
      <c r="BK658" s="276"/>
      <c r="BL658" s="127"/>
      <c r="BM658" s="127"/>
      <c r="BN658" s="276"/>
      <c r="BO658" s="127"/>
      <c r="BP658" s="127"/>
      <c r="BQ658" s="127">
        <f>IF(COUNTIFS($Z$217,"&lt;&gt;"&amp;""),IF($AK$219&lt;&gt;"",ROUND($AK$219/14,1),""),"")</f>
        <v>5.0999999999999996</v>
      </c>
      <c r="BR658" s="127">
        <f>IF(COUNTIFS($Z$217,"&lt;&gt;"&amp;""),IF($AK$219&lt;&gt;"",ROUND($AK$219,1),""),"")</f>
        <v>72</v>
      </c>
      <c r="BS658" s="127">
        <f>IF($AZ658="","",$AC$219)</f>
        <v>4</v>
      </c>
      <c r="BT658" s="126" t="str">
        <f>IF(COUNTIFS($Z$217,"&lt;&gt;"&amp;""),$AJ$219,"")</f>
        <v>DS</v>
      </c>
      <c r="BU658" s="126">
        <f t="shared" si="193"/>
        <v>7.1</v>
      </c>
      <c r="BV658" s="127">
        <f t="shared" si="194"/>
        <v>100</v>
      </c>
      <c r="BW658" s="420" t="str">
        <f t="shared" si="186"/>
        <v>2022</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L420.19.07.S4-07</v>
      </c>
      <c r="AY659" s="276">
        <v>7</v>
      </c>
      <c r="AZ659" s="127" t="str">
        <f>IF(COUNTIFS($Z$220,"&lt;&gt;"&amp;""),$Z$220,"")</f>
        <v xml:space="preserve">Opțional 10 independent 
Deformarea şi ruperea materialelor </v>
      </c>
      <c r="BA659" s="127">
        <f t="shared" si="190"/>
        <v>4</v>
      </c>
      <c r="BB659" s="127" t="str">
        <f t="shared" si="191"/>
        <v>7</v>
      </c>
      <c r="BC659" s="127" t="str">
        <f>IF($AZ659="","",$AD$222)</f>
        <v>E</v>
      </c>
      <c r="BD659" s="127" t="str">
        <f t="shared" si="192"/>
        <v>DO</v>
      </c>
      <c r="BE659" s="127">
        <f>IF(COUNTIFS($Z$220,"&lt;&gt;"&amp;""),ROUND($AE$222/14,1),"")</f>
        <v>0</v>
      </c>
      <c r="BF659" s="127">
        <f>IF(COUNTIFS($Z$220,"&lt;&gt;"&amp;""),ROUND(($AF$222+$AG$222+$AH$222)/14,1),"")</f>
        <v>2</v>
      </c>
      <c r="BG659" s="127">
        <f>IF(COUNTIFS($Z$220,"&lt;&gt;"&amp;""),ROUND(($AE$222+$AF$222+$AG$222+$AH$222)/14,1),"")</f>
        <v>2</v>
      </c>
      <c r="BH659" s="127">
        <f>IF(COUNTIFS($Z$220,"&lt;&gt;"&amp;""),ROUND($AE$222,1),"")</f>
        <v>0</v>
      </c>
      <c r="BI659" s="127">
        <f>IF(COUNTIFS($Z$220,"&lt;&gt;"&amp;""),ROUND(($AF$222+$AG$222+$AH$222),1),"")</f>
        <v>28</v>
      </c>
      <c r="BJ659" s="127">
        <f>IF(COUNTIFS($Z$220,"&lt;&gt;"&amp;""),ROUND(($AE$222+$AF$222+$AG$222+$AH$222),1),"")</f>
        <v>28</v>
      </c>
      <c r="BK659" s="276"/>
      <c r="BL659" s="127"/>
      <c r="BM659" s="127"/>
      <c r="BN659" s="276"/>
      <c r="BO659" s="127"/>
      <c r="BP659" s="127"/>
      <c r="BQ659" s="127">
        <f>IF(COUNTIFS($Z$220,"&lt;&gt;"&amp;""),IF($AK$222&lt;&gt;"",ROUND($AK$222/14,1),""),"")</f>
        <v>6.9</v>
      </c>
      <c r="BR659" s="127">
        <f>IF(COUNTIFS($Z$220,"&lt;&gt;"&amp;""),IF($AK$222&lt;&gt;"",ROUND($AK$222,1),""),"")</f>
        <v>97</v>
      </c>
      <c r="BS659" s="127">
        <f>IF($AZ659="","",$AC$222)</f>
        <v>5</v>
      </c>
      <c r="BT659" s="126" t="str">
        <f>IF(COUNTIFS($Z$220,"&lt;&gt;"&amp;""),$AJ$222,"")</f>
        <v>DS</v>
      </c>
      <c r="BU659" s="126">
        <f t="shared" si="193"/>
        <v>8.9</v>
      </c>
      <c r="BV659" s="127">
        <f t="shared" si="194"/>
        <v>125</v>
      </c>
      <c r="BW659" s="420" t="str">
        <f t="shared" si="186"/>
        <v>2022</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L420.19.07.S4-08</v>
      </c>
      <c r="AY660" s="276">
        <v>8</v>
      </c>
      <c r="AZ660" s="127" t="str">
        <f>IF(COUNTIFS($Z$223,"&lt;&gt;"&amp;""),$Z$223,"")</f>
        <v>Opțional 10 independent 
Procedee de sudare industrială (*)</v>
      </c>
      <c r="BA660" s="127">
        <f t="shared" si="190"/>
        <v>4</v>
      </c>
      <c r="BB660" s="127" t="str">
        <f t="shared" si="191"/>
        <v>7</v>
      </c>
      <c r="BC660" s="127" t="str">
        <f>IF($AZ660="","",$AD$225)</f>
        <v>E</v>
      </c>
      <c r="BD660" s="127" t="str">
        <f t="shared" si="192"/>
        <v>DO</v>
      </c>
      <c r="BE660" s="127">
        <f>IF(COUNTIFS($Z$223,"&lt;&gt;"&amp;""),ROUND($AE$225/14,1),"")</f>
        <v>0</v>
      </c>
      <c r="BF660" s="127">
        <f>IF(COUNTIFS($Z$223,"&lt;&gt;"&amp;""),ROUND(($AF$225+$AG$225+$AH$225)/14,1),"")</f>
        <v>2</v>
      </c>
      <c r="BG660" s="127">
        <f>IF(COUNTIFS($Z$223,"&lt;&gt;"&amp;""),ROUND(($AE$225+$AF$225+$AG$225+$AH$225)/14,1),"")</f>
        <v>2</v>
      </c>
      <c r="BH660" s="127">
        <f>IF(COUNTIFS($Z$223,"&lt;&gt;"&amp;""),ROUND($AE$225,1),"")</f>
        <v>0</v>
      </c>
      <c r="BI660" s="127">
        <f>IF(COUNTIFS($Z$223,"&lt;&gt;"&amp;""),ROUND(($AF$225+$AG$225+$AH$225),1),"")</f>
        <v>28</v>
      </c>
      <c r="BJ660" s="127">
        <f>IF(COUNTIFS($Z$223,"&lt;&gt;"&amp;""),ROUND(($AE$225+$AF$225+$AG$225+$AH$225),1),"")</f>
        <v>28</v>
      </c>
      <c r="BK660" s="276"/>
      <c r="BL660" s="127"/>
      <c r="BM660" s="127"/>
      <c r="BN660" s="276"/>
      <c r="BO660" s="127"/>
      <c r="BP660" s="127"/>
      <c r="BQ660" s="127">
        <f>IF(COUNTIFS($Z$223,"&lt;&gt;"&amp;""),IF($AK$225&lt;&gt;"",ROUND($AK$225/14,1),""),"")</f>
        <v>6.9</v>
      </c>
      <c r="BR660" s="127">
        <f>IF(COUNTIFS($Z$223,"&lt;&gt;"&amp;""),IF($AK$225&lt;&gt;"",ROUND($AK$225,1),""),"")</f>
        <v>97</v>
      </c>
      <c r="BS660" s="127">
        <f>IF($AZ660="","",$AC$225)</f>
        <v>5</v>
      </c>
      <c r="BT660" s="126" t="str">
        <f>IF(COUNTIFS($Z$223,"&lt;&gt;"&amp;""),$AJ$225,"")</f>
        <v>DS</v>
      </c>
      <c r="BU660" s="126">
        <f t="shared" si="193"/>
        <v>8.9</v>
      </c>
      <c r="BV660" s="127">
        <f t="shared" si="194"/>
        <v>125</v>
      </c>
      <c r="BW660" s="420" t="str">
        <f t="shared" si="186"/>
        <v>2022</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L420.19.07.D6-09</v>
      </c>
      <c r="AY661" s="276">
        <v>9</v>
      </c>
      <c r="AZ661" s="127" t="str">
        <f>IF(COUNTIFS($Z$226,"&lt;&gt;"&amp;""),$Z$226,"")</f>
        <v>Opțional 1-împachetat (P1)
Dispozitive tehnologice (*)</v>
      </c>
      <c r="BA661" s="127">
        <f t="shared" si="190"/>
        <v>4</v>
      </c>
      <c r="BB661" s="127" t="str">
        <f t="shared" si="191"/>
        <v>7</v>
      </c>
      <c r="BC661" s="127" t="str">
        <f>IF($AZ661="","",$AD$228)</f>
        <v>D</v>
      </c>
      <c r="BD661" s="127" t="str">
        <f t="shared" si="192"/>
        <v>DO</v>
      </c>
      <c r="BE661" s="127">
        <f>IF(COUNTIFS($Z$226,"&lt;&gt;"&amp;""),ROUND($AE$228/14,1),"")</f>
        <v>0</v>
      </c>
      <c r="BF661" s="127">
        <f>IF(COUNTIFS($Z$226,"&lt;&gt;"&amp;""),ROUND(($AF$228+$AG$228+$AH$228)/14,1),"")</f>
        <v>2</v>
      </c>
      <c r="BG661" s="127">
        <f>IF(COUNTIFS($Z$226,"&lt;&gt;"&amp;""),ROUND(($AE$228+$AF$228+$AG$228+$AH$228)/14,1),"")</f>
        <v>2</v>
      </c>
      <c r="BH661" s="127">
        <f>IF(COUNTIFS($Z$226,"&lt;&gt;"&amp;""),ROUND($AE$228,1),"")</f>
        <v>0</v>
      </c>
      <c r="BI661" s="127">
        <f>IF(COUNTIFS($Z$226,"&lt;&gt;"&amp;""),ROUND(($AF$228+$AG$228+$AH$228),1),"")</f>
        <v>28</v>
      </c>
      <c r="BJ661" s="127">
        <f>IF(COUNTIFS($Z$226,"&lt;&gt;"&amp;""),ROUND(($AE$228+$AF$228+$AG$228+$AH$228),1),"")</f>
        <v>28</v>
      </c>
      <c r="BK661" s="276"/>
      <c r="BL661" s="127"/>
      <c r="BM661" s="127"/>
      <c r="BN661" s="276"/>
      <c r="BO661" s="127"/>
      <c r="BP661" s="127"/>
      <c r="BQ661" s="127">
        <f>IF(COUNTIFS($Z$226,"&lt;&gt;"&amp;""),IF($AK$228&lt;&gt;"",ROUND($AK$228/14,1),""),"")</f>
        <v>6.9</v>
      </c>
      <c r="BR661" s="127">
        <f>IF(COUNTIFS($Z$226,"&lt;&gt;"&amp;""),IF($AK$228&lt;&gt;"",ROUND($AK$228,1),""),"")</f>
        <v>97</v>
      </c>
      <c r="BS661" s="127">
        <f>IF($AZ661="","",$AC$228)</f>
        <v>5</v>
      </c>
      <c r="BT661" s="126" t="str">
        <f>IF(COUNTIFS($Z$226,"&lt;&gt;"&amp;""),$AJ$228,"")</f>
        <v>DD</v>
      </c>
      <c r="BU661" s="126">
        <f t="shared" si="193"/>
        <v>8.9</v>
      </c>
      <c r="BV661" s="127">
        <f t="shared" si="194"/>
        <v>125</v>
      </c>
      <c r="BW661" s="420" t="str">
        <f t="shared" si="186"/>
        <v>2022</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L420.19.07.D7-10</v>
      </c>
      <c r="AY662" s="276">
        <v>10</v>
      </c>
      <c r="AZ662" s="127" t="str">
        <f>IF(COUNTIFS($Z$229,"&lt;&gt;"&amp;""),$Z$229,"")</f>
        <v>Opțional 2-împachetat (P1)
Constructia si exploatarea sculelor aschietoare (*)</v>
      </c>
      <c r="BA662" s="127">
        <f t="shared" si="190"/>
        <v>4</v>
      </c>
      <c r="BB662" s="127" t="str">
        <f t="shared" si="191"/>
        <v>7</v>
      </c>
      <c r="BC662" s="127" t="str">
        <f>IF($AZ662="","",$AD$231)</f>
        <v>E</v>
      </c>
      <c r="BD662" s="127" t="str">
        <f t="shared" si="192"/>
        <v>DO</v>
      </c>
      <c r="BE662" s="127">
        <f>IF(COUNTIFS($Z$229,"&lt;&gt;"&amp;""),ROUND($AE$231/14,1),"")</f>
        <v>0</v>
      </c>
      <c r="BF662" s="127">
        <f>IF(COUNTIFS($Z$229,"&lt;&gt;"&amp;""),ROUND(($AF$231+$AG$231+$AH$231)/14,1),"")</f>
        <v>2</v>
      </c>
      <c r="BG662" s="127">
        <f>IF(COUNTIFS($Z$229,"&lt;&gt;"&amp;""),ROUND(($AE$231+$AF$231+$AG$231+$AH$231)/14,1),"")</f>
        <v>2</v>
      </c>
      <c r="BH662" s="127">
        <f>IF(COUNTIFS($Z$229,"&lt;&gt;"&amp;""),ROUND($AE$231,1),"")</f>
        <v>0</v>
      </c>
      <c r="BI662" s="127">
        <f>IF(COUNTIFS($Z$229,"&lt;&gt;"&amp;""),ROUND(($AF$231+$AG$231+$AH$231),1),"")</f>
        <v>28</v>
      </c>
      <c r="BJ662" s="127">
        <f>IF(COUNTIFS($Z$229,"&lt;&gt;"&amp;""),ROUND(($AE$231+$AF$231+$AG$231+$AH$231),1),"")</f>
        <v>28</v>
      </c>
      <c r="BK662" s="276"/>
      <c r="BL662" s="127"/>
      <c r="BM662" s="127"/>
      <c r="BN662" s="276"/>
      <c r="BO662" s="127"/>
      <c r="BP662" s="127"/>
      <c r="BQ662" s="127">
        <f>IF(COUNTIFS($Z$229,"&lt;&gt;"&amp;""),IF($AK$231&lt;&gt;"",ROUND($AK$231/14,1),""),"")</f>
        <v>5.0999999999999996</v>
      </c>
      <c r="BR662" s="127">
        <f>IF(COUNTIFS($Z$229,"&lt;&gt;"&amp;""),IF($AK$231&lt;&gt;"",ROUND($AK$231,1),""),"")</f>
        <v>72</v>
      </c>
      <c r="BS662" s="127">
        <f>IF($AZ662="","",$AC$231)</f>
        <v>4</v>
      </c>
      <c r="BT662" s="126" t="str">
        <f>IF(COUNTIFS($Z$229,"&lt;&gt;"&amp;""),$AJ$231,"")</f>
        <v>DD</v>
      </c>
      <c r="BU662" s="126">
        <f t="shared" si="193"/>
        <v>7.1</v>
      </c>
      <c r="BV662" s="127">
        <f t="shared" si="194"/>
        <v>100</v>
      </c>
      <c r="BW662" s="420" t="str">
        <f t="shared" si="186"/>
        <v>2022</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L420.19.07.D6-11</v>
      </c>
      <c r="AY663" s="276">
        <v>11</v>
      </c>
      <c r="AZ663" s="127" t="str">
        <f>IF(COUNTIFS($Z$232,"&lt;&gt;"&amp;""),$Z$232,"")</f>
        <v>Opțional 1-împachetat  (P2)
Disponibilitatea operationala a sist tehn si Dispozitive tehnologice</v>
      </c>
      <c r="BA663" s="127">
        <f t="shared" si="190"/>
        <v>4</v>
      </c>
      <c r="BB663" s="127" t="str">
        <f t="shared" si="191"/>
        <v>7</v>
      </c>
      <c r="BC663" s="127" t="str">
        <f>IF($AZ663="","",$AD$234)</f>
        <v>D</v>
      </c>
      <c r="BD663" s="127" t="str">
        <f t="shared" si="192"/>
        <v>DO</v>
      </c>
      <c r="BE663" s="127">
        <f>IF(COUNTIFS($Z$232,"&lt;&gt;"&amp;""),ROUND($AE$234/14,1),"")</f>
        <v>0</v>
      </c>
      <c r="BF663" s="127">
        <f>IF(COUNTIFS($Z$232,"&lt;&gt;"&amp;""),ROUND(($AF$234+$AG$234+$AH$234)/14,1),"")</f>
        <v>2</v>
      </c>
      <c r="BG663" s="127">
        <f>IF(COUNTIFS($Z$232,"&lt;&gt;"&amp;""),ROUND(($AE$234+$AF$234+$AG$234+$AH$234)/14,1),"")</f>
        <v>2</v>
      </c>
      <c r="BH663" s="127">
        <f>IF(COUNTIFS($Z$232,"&lt;&gt;"&amp;""),ROUND($AE$234,1),"")</f>
        <v>0</v>
      </c>
      <c r="BI663" s="127">
        <f>IF(COUNTIFS($Z$232,"&lt;&gt;"&amp;""),ROUND(($AF$234+$AG$234+$AH$234),1),"")</f>
        <v>28</v>
      </c>
      <c r="BJ663" s="127">
        <f>IF(COUNTIFS($Z$232,"&lt;&gt;"&amp;""),ROUND(($AE$234+$AF$234+$AG$234+$AH$234),1),"")</f>
        <v>28</v>
      </c>
      <c r="BK663" s="276"/>
      <c r="BL663" s="127"/>
      <c r="BM663" s="127"/>
      <c r="BN663" s="276"/>
      <c r="BO663" s="127"/>
      <c r="BP663" s="127"/>
      <c r="BQ663" s="127">
        <f>IF(COUNTIFS($Z$232,"&lt;&gt;"&amp;""),IF($AK$234&lt;&gt;"",ROUND($AK$234/14,1),""),"")</f>
        <v>6.9</v>
      </c>
      <c r="BR663" s="127">
        <f>IF(COUNTIFS($Z$232,"&lt;&gt;"&amp;""),IF($AK$234&lt;&gt;"",ROUND($AK$234,1),""),"")</f>
        <v>97</v>
      </c>
      <c r="BS663" s="127">
        <f>IF($AZ663="","",$AC$234)</f>
        <v>5</v>
      </c>
      <c r="BT663" s="126" t="str">
        <f>IF(COUNTIFS($Z$232,"&lt;&gt;"&amp;""),$AJ$234,"")</f>
        <v>DD</v>
      </c>
      <c r="BU663" s="126">
        <f t="shared" si="193"/>
        <v>8.9</v>
      </c>
      <c r="BV663" s="127">
        <f t="shared" si="194"/>
        <v>125</v>
      </c>
      <c r="BW663" s="420" t="str">
        <f t="shared" si="186"/>
        <v>2022</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L420.19.07.D7-12</v>
      </c>
      <c r="AY664" s="276">
        <v>12</v>
      </c>
      <c r="AZ664" s="127" t="str">
        <f>IF(COUNTIFS($Z$235,"&lt;&gt;"&amp;""),$Z$235,"")</f>
        <v>Opțional 2-împachetat  (P2)
Scule aschietoare</v>
      </c>
      <c r="BA664" s="127">
        <f t="shared" si="190"/>
        <v>4</v>
      </c>
      <c r="BB664" s="127" t="str">
        <f t="shared" si="191"/>
        <v>7</v>
      </c>
      <c r="BC664" s="127" t="str">
        <f>IF($AZ664="","",$AD$237)</f>
        <v>E</v>
      </c>
      <c r="BD664" s="127" t="str">
        <f t="shared" si="192"/>
        <v>DO</v>
      </c>
      <c r="BE664" s="127">
        <f>IF(COUNTIFS($Z$235,"&lt;&gt;"&amp;""),ROUND($AE$237/14,1),"")</f>
        <v>0</v>
      </c>
      <c r="BF664" s="127">
        <f>IF(COUNTIFS($Z$235,"&lt;&gt;"&amp;""),ROUND(($AF$237+$AG$237+$AH$237)/14,1),"")</f>
        <v>2</v>
      </c>
      <c r="BG664" s="127">
        <f>IF(COUNTIFS($Z$235,"&lt;&gt;"&amp;""),ROUND(($AE$237+$AF$237+$AG$237+$AH$237)/14,1),"")</f>
        <v>2</v>
      </c>
      <c r="BH664" s="127">
        <f>IF(COUNTIFS($Z$235,"&lt;&gt;"&amp;""),ROUND($AE$237,1),"")</f>
        <v>0</v>
      </c>
      <c r="BI664" s="127">
        <f>IF(COUNTIFS($Z$235,"&lt;&gt;"&amp;""),ROUND(($AF$237+$AG$237+$AH$237),1),"")</f>
        <v>28</v>
      </c>
      <c r="BJ664" s="127">
        <f>IF(COUNTIFS($Z$235,"&lt;&gt;"&amp;""),ROUND(($AE$237+$AF$237+$AG$237+$AH$237),1),"")</f>
        <v>28</v>
      </c>
      <c r="BK664" s="276"/>
      <c r="BL664" s="127"/>
      <c r="BM664" s="127"/>
      <c r="BN664" s="276"/>
      <c r="BO664" s="127"/>
      <c r="BP664" s="127"/>
      <c r="BQ664" s="127">
        <f>IF(COUNTIFS($Z$235,"&lt;&gt;"&amp;""),IF($AK$237&lt;&gt;"",ROUND($AK$237/14,1),""),"")</f>
        <v>5.0999999999999996</v>
      </c>
      <c r="BR664" s="127">
        <f>IF(COUNTIFS($Z$235,"&lt;&gt;"&amp;""),IF($AK$237&lt;&gt;"",ROUND($AK$237,1),""),"")</f>
        <v>72</v>
      </c>
      <c r="BS664" s="127">
        <f>IF($AZ664="","",$AC$237)</f>
        <v>4</v>
      </c>
      <c r="BT664" s="126" t="str">
        <f>IF(COUNTIFS($Z$235,"&lt;&gt;"&amp;""),$AJ$237,"")</f>
        <v>DD</v>
      </c>
      <c r="BU664" s="126">
        <f t="shared" si="193"/>
        <v>7.1</v>
      </c>
      <c r="BV664" s="127">
        <f t="shared" si="194"/>
        <v>100</v>
      </c>
      <c r="BW664" s="420" t="str">
        <f t="shared" si="186"/>
        <v>2022</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19" t="s">
        <v>224</v>
      </c>
      <c r="AY679" s="520"/>
      <c r="AZ679" s="520"/>
      <c r="BA679" s="520"/>
      <c r="BB679" s="520"/>
      <c r="BC679" s="520"/>
      <c r="BD679" s="520"/>
      <c r="BE679" s="520"/>
      <c r="BF679" s="520"/>
      <c r="BG679" s="520"/>
      <c r="BH679" s="520"/>
      <c r="BI679" s="520"/>
      <c r="BJ679" s="520"/>
      <c r="BK679" s="520"/>
      <c r="BL679" s="520"/>
      <c r="BM679" s="520"/>
      <c r="BN679" s="520"/>
      <c r="BO679" s="520"/>
      <c r="BP679" s="520"/>
      <c r="BQ679" s="520"/>
      <c r="BR679" s="520"/>
      <c r="BS679" s="520"/>
      <c r="BT679" s="520"/>
      <c r="BU679" s="520"/>
      <c r="BV679" s="521"/>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L420.19.08.S1-01</v>
      </c>
      <c r="AY680" s="127">
        <v>1</v>
      </c>
      <c r="AZ680" s="127" t="str">
        <f>IF(COUNTIFS($AL$202,"&lt;&gt;"&amp;""),$AL$202,"")</f>
        <v>Opțional 3-împachetat  (P3)
Tehnologii pe masini cu comenzi numerice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0</v>
      </c>
      <c r="BF680" s="127">
        <f>IF(COUNTIFS($AL$202,"&lt;&gt;"&amp;""),ROUND(($AR$204+$AS$204+$AT$204)/14,1),"")</f>
        <v>2</v>
      </c>
      <c r="BG680" s="127">
        <f>IF(COUNTIFS($AL$202,"&lt;&gt;"&amp;""),ROUND(($AQ$204+$AR$204+$AS$204+$AT$204)/14,1),"")</f>
        <v>2</v>
      </c>
      <c r="BH680" s="127">
        <f>IF(COUNTIFS($AL$202,"&lt;&gt;"&amp;""),ROUND($AQ$204,1),"")</f>
        <v>0</v>
      </c>
      <c r="BI680" s="127">
        <f>IF(COUNTIFS($AL$202,"&lt;&gt;"&amp;""),ROUND(($AR$204+$AS$204+$AT$204),1),"")</f>
        <v>28</v>
      </c>
      <c r="BJ680" s="127">
        <f>IF(COUNTIFS($AL$202,"&lt;&gt;"&amp;""),ROUND(($AQ$204+$AR$204+$AS$204+$AT$204),1),"")</f>
        <v>28</v>
      </c>
      <c r="BK680" s="127"/>
      <c r="BL680" s="127"/>
      <c r="BM680" s="127"/>
      <c r="BN680" s="127"/>
      <c r="BO680" s="127"/>
      <c r="BP680" s="127"/>
      <c r="BQ680" s="127">
        <f>IF(COUNTIFS($AL$202,"&lt;&gt;"&amp;""),IF($AW$204&lt;&gt;"",ROUND($AW$204/14,1),""),"")</f>
        <v>5.0999999999999996</v>
      </c>
      <c r="BR680" s="127">
        <f>IF(COUNTIFS($AL$202,"&lt;&gt;"&amp;""),IF($AW$204&lt;&gt;"",ROUND($AW$204,1),""),"")</f>
        <v>72</v>
      </c>
      <c r="BS680" s="127">
        <f>IF($AZ680="","",$AO$204)</f>
        <v>4</v>
      </c>
      <c r="BT680" s="126" t="str">
        <f>IF(COUNTIFS($AL$202,"&lt;&gt;"&amp;""),$AV$204,"")</f>
        <v>DS</v>
      </c>
      <c r="BU680" s="126">
        <f>IF($AZ680="","",IF($BG680&lt;&gt;"",$BG680,0)+IF($BM680&lt;&gt;"",$BM680,0)+IF($BQ680&lt;&gt;"",$BQ680,0))</f>
        <v>7.1</v>
      </c>
      <c r="BV680" s="127">
        <f>IF($AZ680="","",IF($BJ680&lt;&gt;"",$BJ680,0)+IF($BP680&lt;&gt;"",$BP680,0)+IF($BR680&lt;&gt;"",$BR680,0))</f>
        <v>100</v>
      </c>
      <c r="BW680" s="420" t="str">
        <f t="shared" si="186"/>
        <v>2022</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L420.19.08.S2-02</v>
      </c>
      <c r="AY681" s="276">
        <v>2</v>
      </c>
      <c r="AZ681" s="127" t="str">
        <f>IF(COUNTIFS($AL$205,"&lt;&gt;"&amp;""),$AL$205,"")</f>
        <v>Opțional 4-împachetat (P3)
Tehnologii si echipamente de fabricatie (*)</v>
      </c>
      <c r="BA681" s="127">
        <f t="shared" si="198"/>
        <v>4</v>
      </c>
      <c r="BB681" s="127" t="str">
        <f t="shared" si="199"/>
        <v>8</v>
      </c>
      <c r="BC681" s="127" t="str">
        <f>IF($AZ681="","",$AP$207)</f>
        <v>E</v>
      </c>
      <c r="BD681" s="127" t="str">
        <f t="shared" ref="BD681:BD691" si="200">IF($AZ681="","","DO")</f>
        <v>DO</v>
      </c>
      <c r="BE681" s="127">
        <f>IF(COUNTIFS($AL$205,"&lt;&gt;"&amp;""),ROUND($AQ$207/14,1),"")</f>
        <v>0</v>
      </c>
      <c r="BF681" s="127">
        <f>IF(COUNTIFS($AL$205,"&lt;&gt;"&amp;""),ROUND(($AR$207+$AS$207+$AT$207)/14,1),"")</f>
        <v>2</v>
      </c>
      <c r="BG681" s="127">
        <f>IF(COUNTIFS($AL$205,"&lt;&gt;"&amp;""),ROUND(($AQ$207+$AR$207+$AS$207+$AT$207)/14,1),"")</f>
        <v>2</v>
      </c>
      <c r="BH681" s="127">
        <f>IF(COUNTIFS($AL$205,"&lt;&gt;"&amp;""),ROUND($AQ$207,1),"")</f>
        <v>0</v>
      </c>
      <c r="BI681" s="127">
        <f>IF(COUNTIFS($AL$205,"&lt;&gt;"&amp;""),ROUND(($AR$207+$AS$207+$AT$207),1),"")</f>
        <v>28</v>
      </c>
      <c r="BJ681" s="127">
        <f>IF(COUNTIFS($AL$205,"&lt;&gt;"&amp;""),ROUND(($AQ$207+$AR$207+$AS$207+$AT$207),1),"")</f>
        <v>28</v>
      </c>
      <c r="BK681" s="276"/>
      <c r="BL681" s="127"/>
      <c r="BM681" s="127"/>
      <c r="BN681" s="276"/>
      <c r="BO681" s="127"/>
      <c r="BP681" s="127"/>
      <c r="BQ681" s="127">
        <f>IF(COUNTIFS($AL$205,"&lt;&gt;"&amp;""),IF($AW$207&lt;&gt;"",ROUND($AW$207/14,1),""),"")</f>
        <v>5.0999999999999996</v>
      </c>
      <c r="BR681" s="127">
        <f>IF(COUNTIFS($AL$205,"&lt;&gt;"&amp;""),IF($AW$207&lt;&gt;"",ROUND($AW$207,1),""),"")</f>
        <v>72</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20" t="str">
        <f t="shared" si="186"/>
        <v>2022</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L420.19.08.S3-03</v>
      </c>
      <c r="AY682" s="276">
        <v>3</v>
      </c>
      <c r="AZ682" s="127" t="str">
        <f>IF(COUNTIFS($AL$208,"&lt;&gt;"&amp;""),$AL$208,"")</f>
        <v>Opțional 5-împachetat (P3)
Proceduri de masurare 3D (*)</v>
      </c>
      <c r="BA682" s="127">
        <f t="shared" si="198"/>
        <v>4</v>
      </c>
      <c r="BB682" s="127" t="str">
        <f t="shared" si="199"/>
        <v>8</v>
      </c>
      <c r="BC682" s="127" t="str">
        <f>IF($AZ682="","",$AP$210)</f>
        <v>E</v>
      </c>
      <c r="BD682" s="127" t="str">
        <f t="shared" si="200"/>
        <v>DO</v>
      </c>
      <c r="BE682" s="127">
        <f>IF(COUNTIFS($AL$208,"&lt;&gt;"&amp;""),ROUND($AQ$210/14,1),"")</f>
        <v>0</v>
      </c>
      <c r="BF682" s="127">
        <f>IF(COUNTIFS($AL$208,"&lt;&gt;"&amp;""),ROUND(($AR$210+$AS$210+$AT$210)/14,1),"")</f>
        <v>1</v>
      </c>
      <c r="BG682" s="127">
        <f>IF(COUNTIFS($AL$208,"&lt;&gt;"&amp;""),ROUND(($AQ$210+$AR$210+$AS$210+$AT$210)/14,1),"")</f>
        <v>1</v>
      </c>
      <c r="BH682" s="127">
        <f>IF(COUNTIFS($AL$208,"&lt;&gt;"&amp;""),ROUND($AQ$210,1),"")</f>
        <v>0</v>
      </c>
      <c r="BI682" s="127">
        <f>IF(COUNTIFS($AL$208,"&lt;&gt;"&amp;""),ROUND(($AR$210+$AS$210+$AT$210),1),"")</f>
        <v>14</v>
      </c>
      <c r="BJ682" s="127">
        <f>IF(COUNTIFS($AL$208,"&lt;&gt;"&amp;""),ROUND(($AQ$210+$AR$210+$AS$210+$AT$210),1),"")</f>
        <v>14</v>
      </c>
      <c r="BK682" s="276"/>
      <c r="BL682" s="127"/>
      <c r="BM682" s="127"/>
      <c r="BN682" s="276"/>
      <c r="BO682" s="127"/>
      <c r="BP682" s="127"/>
      <c r="BQ682" s="127">
        <f>IF(COUNTIFS($AL$208,"&lt;&gt;"&amp;""),IF($AW$210&lt;&gt;"",ROUND($AW$210/14,1),""),"")</f>
        <v>6.1</v>
      </c>
      <c r="BR682" s="127">
        <f>IF(COUNTIFS($AL$208,"&lt;&gt;"&amp;""),IF($AW$210&lt;&gt;"",ROUND($AW$210,1),""),"")</f>
        <v>86</v>
      </c>
      <c r="BS682" s="127">
        <f>IF($AZ682="","",$AO$210)</f>
        <v>4</v>
      </c>
      <c r="BT682" s="126" t="str">
        <f>IF(COUNTIFS($AL$208,"&lt;&gt;"&amp;""),$AV$210,"")</f>
        <v>DS</v>
      </c>
      <c r="BU682" s="126">
        <f t="shared" si="201"/>
        <v>7.1</v>
      </c>
      <c r="BV682" s="127">
        <f t="shared" si="202"/>
        <v>100</v>
      </c>
      <c r="BW682" s="420" t="str">
        <f t="shared" si="186"/>
        <v>2022</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L420.19.08.S4-04</v>
      </c>
      <c r="AY683" s="276">
        <v>4</v>
      </c>
      <c r="AZ683" s="127" t="str">
        <f>IF(COUNTIFS($AL$211,"&lt;&gt;"&amp;""),$AL$211,"")</f>
        <v>Opțional 6-împachetat(P3)
Tehnologii de procesare a materialelor polimerice (*)</v>
      </c>
      <c r="BA683" s="127">
        <f t="shared" si="198"/>
        <v>4</v>
      </c>
      <c r="BB683" s="127" t="str">
        <f t="shared" si="199"/>
        <v>8</v>
      </c>
      <c r="BC683" s="127" t="str">
        <f>IF($AZ683="","",$AP$213)</f>
        <v>E</v>
      </c>
      <c r="BD683" s="127" t="str">
        <f t="shared" si="200"/>
        <v>DO</v>
      </c>
      <c r="BE683" s="127">
        <f>IF(COUNTIFS($AL$211,"&lt;&gt;"&amp;""),ROUND($AQ$213/14,1),"")</f>
        <v>0</v>
      </c>
      <c r="BF683" s="127">
        <f>IF(COUNTIFS($AL$211,"&lt;&gt;"&amp;""),ROUND(($AR$213+$AS$213+$AT$213)/14,1),"")</f>
        <v>1</v>
      </c>
      <c r="BG683" s="127">
        <f>IF(COUNTIFS($AL$211,"&lt;&gt;"&amp;""),ROUND(($AQ$213+$AR$213+$AS$213+$AT$213)/14,1),"")</f>
        <v>1</v>
      </c>
      <c r="BH683" s="127">
        <f>IF(COUNTIFS($AL$211,"&lt;&gt;"&amp;""),ROUND($AQ$213,1),"")</f>
        <v>0</v>
      </c>
      <c r="BI683" s="127">
        <f>IF(COUNTIFS($AL$211,"&lt;&gt;"&amp;""),ROUND(($AR$213+$AS$213+$AT$213),1),"")</f>
        <v>14</v>
      </c>
      <c r="BJ683" s="127">
        <f>IF(COUNTIFS($AL$211,"&lt;&gt;"&amp;""),ROUND(($AQ$213+$AR$213+$AS$213+$AT$213),1),"")</f>
        <v>14</v>
      </c>
      <c r="BK683" s="276"/>
      <c r="BL683" s="127"/>
      <c r="BM683" s="127"/>
      <c r="BN683" s="276"/>
      <c r="BO683" s="127"/>
      <c r="BP683" s="127"/>
      <c r="BQ683" s="127">
        <f>IF(COUNTIFS($AL$211,"&lt;&gt;"&amp;""),IF($AW$213&lt;&gt;"",ROUND($AW$213/14,1),""),"")</f>
        <v>4.4000000000000004</v>
      </c>
      <c r="BR683" s="127">
        <f>IF(COUNTIFS($AL$211,"&lt;&gt;"&amp;""),IF($AW$213&lt;&gt;"",ROUND($AW$213,1),""),"")</f>
        <v>61</v>
      </c>
      <c r="BS683" s="127">
        <f>IF($AZ683="","",$AO$213)</f>
        <v>3</v>
      </c>
      <c r="BT683" s="126" t="str">
        <f>IF(COUNTIFS($AL$211,"&lt;&gt;"&amp;""),$AV$213,"")</f>
        <v>DS</v>
      </c>
      <c r="BU683" s="126">
        <f t="shared" si="201"/>
        <v>5.4</v>
      </c>
      <c r="BV683" s="127">
        <f t="shared" si="202"/>
        <v>75</v>
      </c>
      <c r="BW683" s="420" t="str">
        <f t="shared" si="186"/>
        <v>2022</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L420.19.08.S1-05</v>
      </c>
      <c r="AY684" s="276">
        <v>5</v>
      </c>
      <c r="AZ684" s="127" t="str">
        <f>IF(COUNTIFS($AL$214,"&lt;&gt;"&amp;""),$AL$214,"")</f>
        <v>Opțional 3-împachetat (P4)
Sisteme flexibile de fabricatie</v>
      </c>
      <c r="BA684" s="127">
        <f t="shared" si="198"/>
        <v>4</v>
      </c>
      <c r="BB684" s="127" t="str">
        <f t="shared" si="199"/>
        <v>8</v>
      </c>
      <c r="BC684" s="127" t="str">
        <f>IF($AZ684="","",$AP$216)</f>
        <v>E</v>
      </c>
      <c r="BD684" s="127" t="str">
        <f t="shared" si="200"/>
        <v>DO</v>
      </c>
      <c r="BE684" s="127">
        <f>IF(COUNTIFS($AL$214,"&lt;&gt;"&amp;""),ROUND($AQ$216/14,1),"")</f>
        <v>0</v>
      </c>
      <c r="BF684" s="127">
        <f>IF(COUNTIFS($AL$214,"&lt;&gt;"&amp;""),ROUND(($AR$216+$AS$216+$AT$216)/14,1),"")</f>
        <v>2</v>
      </c>
      <c r="BG684" s="127">
        <f>IF(COUNTIFS($AL$214,"&lt;&gt;"&amp;""),ROUND(($AQ$216+$AR$216+$AS$216+$AT$216)/14,1),"")</f>
        <v>2</v>
      </c>
      <c r="BH684" s="127">
        <f>IF(COUNTIFS($AL$214,"&lt;&gt;"&amp;""),ROUND($AQ$216,1),"")</f>
        <v>0</v>
      </c>
      <c r="BI684" s="127">
        <f>IF(COUNTIFS($AL$214,"&lt;&gt;"&amp;""),ROUND(($AR$216+$AS$216+$AT$216),1),"")</f>
        <v>28</v>
      </c>
      <c r="BJ684" s="127">
        <f>IF(COUNTIFS($AL$214,"&lt;&gt;"&amp;""),ROUND(($AQ$216+$AR$216+$AS$216+$AT$216),1),"")</f>
        <v>28</v>
      </c>
      <c r="BK684" s="276"/>
      <c r="BL684" s="127"/>
      <c r="BM684" s="127"/>
      <c r="BN684" s="276"/>
      <c r="BO684" s="127"/>
      <c r="BP684" s="127"/>
      <c r="BQ684" s="127">
        <f>IF(COUNTIFS($AL$214,"&lt;&gt;"&amp;""),IF($AW$216&lt;&gt;"",ROUND($AW$216/14,1),""),"")</f>
        <v>5.0999999999999996</v>
      </c>
      <c r="BR684" s="127">
        <f>IF(COUNTIFS($AL$214,"&lt;&gt;"&amp;""),IF($AW$216&lt;&gt;"",ROUND($AW$216,1),""),"")</f>
        <v>72</v>
      </c>
      <c r="BS684" s="127">
        <f>IF($AZ684="","",$AO$216)</f>
        <v>4</v>
      </c>
      <c r="BT684" s="126" t="str">
        <f>IF(COUNTIFS($AL$214,"&lt;&gt;"&amp;""),$AV$216,"")</f>
        <v>DS</v>
      </c>
      <c r="BU684" s="126">
        <f t="shared" si="201"/>
        <v>7.1</v>
      </c>
      <c r="BV684" s="127">
        <f t="shared" si="202"/>
        <v>100</v>
      </c>
      <c r="BW684" s="420" t="str">
        <f t="shared" si="186"/>
        <v>2022</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L420.19.08.S2-06</v>
      </c>
      <c r="AY685" s="276">
        <v>6</v>
      </c>
      <c r="AZ685" s="127" t="str">
        <f>IF(COUNTIFS($AL$217,"&lt;&gt;"&amp;""),$AL$217,"")</f>
        <v>Opțional 4-împachetat (P4)
Procese si echipamente de fabricatie</v>
      </c>
      <c r="BA685" s="127">
        <f t="shared" si="198"/>
        <v>4</v>
      </c>
      <c r="BB685" s="127" t="str">
        <f t="shared" si="199"/>
        <v>8</v>
      </c>
      <c r="BC685" s="127" t="str">
        <f>IF($AZ685="","",$AP$219)</f>
        <v>E</v>
      </c>
      <c r="BD685" s="127" t="str">
        <f t="shared" si="200"/>
        <v>DO</v>
      </c>
      <c r="BE685" s="127">
        <f>IF(COUNTIFS($AL$217,"&lt;&gt;"&amp;""),ROUND($AQ$219/14,1),"")</f>
        <v>0</v>
      </c>
      <c r="BF685" s="127">
        <f>IF(COUNTIFS($AL$217,"&lt;&gt;"&amp;""),ROUND(($AR$219+$AS$219+$AT$219)/14,1),"")</f>
        <v>2</v>
      </c>
      <c r="BG685" s="127">
        <f>IF(COUNTIFS($AL$217,"&lt;&gt;"&amp;""),ROUND(($AQ$219+$AR$219+$AS$219+$AT$219)/14,1),"")</f>
        <v>2</v>
      </c>
      <c r="BH685" s="127">
        <f>IF(COUNTIFS($AL$217,"&lt;&gt;"&amp;""),ROUND($AQ$219,1),"")</f>
        <v>0</v>
      </c>
      <c r="BI685" s="127">
        <f>IF(COUNTIFS($AL$217,"&lt;&gt;"&amp;""),ROUND(($AR$219+$AS$219+$AT$219),1),"")</f>
        <v>28</v>
      </c>
      <c r="BJ685" s="127">
        <f>IF(COUNTIFS($AL$217,"&lt;&gt;"&amp;""),ROUND(($AQ$219+$AR$219+$AS$219+$AT$219),1),"")</f>
        <v>28</v>
      </c>
      <c r="BK685" s="276"/>
      <c r="BL685" s="127"/>
      <c r="BM685" s="127"/>
      <c r="BN685" s="276"/>
      <c r="BO685" s="127"/>
      <c r="BP685" s="127"/>
      <c r="BQ685" s="127">
        <f>IF(COUNTIFS($AL$217,"&lt;&gt;"&amp;""),IF($AW$219&lt;&gt;"",ROUND($AW$219/14,1),""),"")</f>
        <v>5.0999999999999996</v>
      </c>
      <c r="BR685" s="127">
        <f>IF(COUNTIFS($AL$217,"&lt;&gt;"&amp;""),IF($AW$219&lt;&gt;"",ROUND($AW$219,1),""),"")</f>
        <v>72</v>
      </c>
      <c r="BS685" s="127">
        <f>IF($AZ685="","",$AO$219)</f>
        <v>4</v>
      </c>
      <c r="BT685" s="126" t="str">
        <f>IF(COUNTIFS($AL$217,"&lt;&gt;"&amp;""),$AV$219,"")</f>
        <v>DS</v>
      </c>
      <c r="BU685" s="126">
        <f t="shared" si="201"/>
        <v>7.1</v>
      </c>
      <c r="BV685" s="127">
        <f t="shared" si="202"/>
        <v>100</v>
      </c>
      <c r="BW685" s="420" t="str">
        <f t="shared" si="186"/>
        <v>2022</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L420.19.08.S3-07</v>
      </c>
      <c r="AY686" s="276">
        <v>7</v>
      </c>
      <c r="AZ686" s="127" t="str">
        <f>IF(COUNTIFS($AL$220,"&lt;&gt;"&amp;""),$AL$220,"")</f>
        <v>Opțional 5-împachetat (P4)
Inspectie dimensionala asistata de calculator</v>
      </c>
      <c r="BA686" s="127">
        <f t="shared" si="198"/>
        <v>4</v>
      </c>
      <c r="BB686" s="127" t="str">
        <f t="shared" si="199"/>
        <v>8</v>
      </c>
      <c r="BC686" s="127" t="str">
        <f>IF($AZ686="","",$AP$222)</f>
        <v>E</v>
      </c>
      <c r="BD686" s="127" t="str">
        <f t="shared" si="200"/>
        <v>DO</v>
      </c>
      <c r="BE686" s="127">
        <f>IF(COUNTIFS($AL$220,"&lt;&gt;"&amp;""),ROUND($AQ$222/14,1),"")</f>
        <v>0</v>
      </c>
      <c r="BF686" s="127">
        <f>IF(COUNTIFS($AL$220,"&lt;&gt;"&amp;""),ROUND(($AR$222+$AS$222+$AT$222)/14,1),"")</f>
        <v>1</v>
      </c>
      <c r="BG686" s="127">
        <f>IF(COUNTIFS($AL$220,"&lt;&gt;"&amp;""),ROUND(($AQ$222+$AR$222+$AS$222+$AT$222)/14,1),"")</f>
        <v>1</v>
      </c>
      <c r="BH686" s="127">
        <f>IF(COUNTIFS($AL$220,"&lt;&gt;"&amp;""),ROUND($AQ$222,1),"")</f>
        <v>0</v>
      </c>
      <c r="BI686" s="127">
        <f>IF(COUNTIFS($AL$220,"&lt;&gt;"&amp;""),ROUND(($AR$222+$AS$222+$AT$222),1),"")</f>
        <v>14</v>
      </c>
      <c r="BJ686" s="127">
        <f>IF(COUNTIFS($AL$220,"&lt;&gt;"&amp;""),ROUND(($AQ$222+$AR$222+$AS$222+$AT$222),1),"")</f>
        <v>14</v>
      </c>
      <c r="BK686" s="276"/>
      <c r="BL686" s="127"/>
      <c r="BM686" s="127"/>
      <c r="BN686" s="276"/>
      <c r="BO686" s="127"/>
      <c r="BP686" s="127"/>
      <c r="BQ686" s="127">
        <f>IF(COUNTIFS($AL$220,"&lt;&gt;"&amp;""),IF($AW$222&lt;&gt;"",ROUND($AW$222/14,1),""),"")</f>
        <v>6.1</v>
      </c>
      <c r="BR686" s="127">
        <f>IF(COUNTIFS($AL$220,"&lt;&gt;"&amp;""),IF($AW$222&lt;&gt;"",ROUND($AW$222,1),""),"")</f>
        <v>86</v>
      </c>
      <c r="BS686" s="127">
        <f>IF($AZ686="","",$AO$222)</f>
        <v>4</v>
      </c>
      <c r="BT686" s="126" t="str">
        <f>IF(COUNTIFS($AL$220,"&lt;&gt;"&amp;""),$AV$222,"")</f>
        <v>DS</v>
      </c>
      <c r="BU686" s="126">
        <f t="shared" si="201"/>
        <v>7.1</v>
      </c>
      <c r="BV686" s="127">
        <f t="shared" si="202"/>
        <v>100</v>
      </c>
      <c r="BW686" s="420" t="str">
        <f t="shared" si="186"/>
        <v>2022</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L420.19.08.S4-08</v>
      </c>
      <c r="AY687" s="276">
        <v>8</v>
      </c>
      <c r="AZ687" s="127" t="str">
        <f>IF(COUNTIFS($AL$223,"&lt;&gt;"&amp;""),$AL$223,"")</f>
        <v>Opțional 6-împachetat(P4)
Tehnologia produselor injectate</v>
      </c>
      <c r="BA687" s="127">
        <f t="shared" si="198"/>
        <v>4</v>
      </c>
      <c r="BB687" s="127" t="str">
        <f t="shared" si="199"/>
        <v>8</v>
      </c>
      <c r="BC687" s="127" t="str">
        <f>IF($AZ687="","",$AP$225)</f>
        <v>E</v>
      </c>
      <c r="BD687" s="127" t="str">
        <f t="shared" si="200"/>
        <v>DO</v>
      </c>
      <c r="BE687" s="127">
        <f>IF(COUNTIFS($AL$223,"&lt;&gt;"&amp;""),ROUND($AQ$225/14,1),"")</f>
        <v>0</v>
      </c>
      <c r="BF687" s="127">
        <f>IF(COUNTIFS($AL$223,"&lt;&gt;"&amp;""),ROUND(($AR$225+$AS$225+$AT$225)/14,1),"")</f>
        <v>1</v>
      </c>
      <c r="BG687" s="127">
        <f>IF(COUNTIFS($AL$223,"&lt;&gt;"&amp;""),ROUND(($AQ$225+$AR$225+$AS$225+$AT$225)/14,1),"")</f>
        <v>1</v>
      </c>
      <c r="BH687" s="127">
        <f>IF(COUNTIFS($AL$223,"&lt;&gt;"&amp;""),ROUND($AQ$225,1),"")</f>
        <v>0</v>
      </c>
      <c r="BI687" s="127">
        <f>IF(COUNTIFS($AL$223,"&lt;&gt;"&amp;""),ROUND(($AR$225+$AS$225+$AT$225),1),"")</f>
        <v>14</v>
      </c>
      <c r="BJ687" s="127">
        <f>IF(COUNTIFS($AL$223,"&lt;&gt;"&amp;""),ROUND(($AQ$225+$AR$225+$AS$225+$AT$225),1),"")</f>
        <v>14</v>
      </c>
      <c r="BK687" s="276"/>
      <c r="BL687" s="127"/>
      <c r="BM687" s="127"/>
      <c r="BN687" s="276"/>
      <c r="BO687" s="127"/>
      <c r="BP687" s="127"/>
      <c r="BQ687" s="127">
        <f>IF(COUNTIFS($AL$223,"&lt;&gt;"&amp;""),IF($AW$225&lt;&gt;"",ROUND($AW$225/14,1),""),"")</f>
        <v>4.4000000000000004</v>
      </c>
      <c r="BR687" s="127">
        <f>IF(COUNTIFS($AL$223,"&lt;&gt;"&amp;""),IF($AW$225&lt;&gt;"",ROUND($AW$225,1),""),"")</f>
        <v>61</v>
      </c>
      <c r="BS687" s="127">
        <f>IF($AZ687="","",$AO$225)</f>
        <v>3</v>
      </c>
      <c r="BT687" s="126" t="str">
        <f>IF(COUNTIFS($AL$223,"&lt;&gt;"&amp;""),$AV$225,"")</f>
        <v>DS</v>
      </c>
      <c r="BU687" s="126">
        <f t="shared" si="201"/>
        <v>5.4</v>
      </c>
      <c r="BV687" s="127">
        <f t="shared" si="202"/>
        <v>75</v>
      </c>
      <c r="BW687" s="420" t="str">
        <f t="shared" si="186"/>
        <v>2022</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19" t="s">
        <v>228</v>
      </c>
      <c r="AY707" s="522"/>
      <c r="AZ707" s="522"/>
      <c r="BA707" s="522"/>
      <c r="BB707" s="522"/>
      <c r="BC707" s="522"/>
      <c r="BD707" s="522"/>
      <c r="BE707" s="522"/>
      <c r="BF707" s="522"/>
      <c r="BG707" s="522"/>
      <c r="BH707" s="522"/>
      <c r="BI707" s="522"/>
      <c r="BJ707" s="522"/>
      <c r="BK707" s="522"/>
      <c r="BL707" s="522"/>
      <c r="BM707" s="522"/>
      <c r="BN707" s="522"/>
      <c r="BO707" s="522"/>
      <c r="BP707" s="522"/>
      <c r="BQ707" s="522"/>
      <c r="BR707" s="522"/>
      <c r="BS707" s="522"/>
      <c r="BT707" s="522"/>
      <c r="BU707" s="522"/>
      <c r="BV707" s="523"/>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19" t="s">
        <v>217</v>
      </c>
      <c r="AY708" s="522"/>
      <c r="AZ708" s="522"/>
      <c r="BA708" s="522"/>
      <c r="BB708" s="522"/>
      <c r="BC708" s="522"/>
      <c r="BD708" s="522"/>
      <c r="BE708" s="522"/>
      <c r="BF708" s="522"/>
      <c r="BG708" s="522"/>
      <c r="BH708" s="522"/>
      <c r="BI708" s="522"/>
      <c r="BJ708" s="522"/>
      <c r="BK708" s="522"/>
      <c r="BL708" s="522"/>
      <c r="BM708" s="522"/>
      <c r="BN708" s="522"/>
      <c r="BO708" s="522"/>
      <c r="BP708" s="522"/>
      <c r="BQ708" s="522"/>
      <c r="BR708" s="522"/>
      <c r="BS708" s="522"/>
      <c r="BT708" s="522"/>
      <c r="BU708" s="522"/>
      <c r="BV708" s="523"/>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L420.19.01.C11-01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0</v>
      </c>
      <c r="BF710" s="127">
        <f>IF(COUNTIFS($B$327,"&lt;&gt;"&amp;""),ROUND(($H$329+$I$329+$J$329)/14,1),"")</f>
        <v>2</v>
      </c>
      <c r="BG710" s="127">
        <f>IF(COUNTIFS($B$327,"&lt;&gt;"&amp;""),ROUND(($G$329+$H$329+$I$329+$J$329)/14,1),"")</f>
        <v>2</v>
      </c>
      <c r="BH710" s="127">
        <f>IF(COUNTIFS($B$327,"&lt;&gt;"&amp;""),ROUND($G$329,1),"")</f>
        <v>0</v>
      </c>
      <c r="BI710" s="127">
        <f>IF(COUNTIFS($B$327,"&lt;&gt;"&amp;""),ROUND(($H$329+$I$329+$J$329),1),"")</f>
        <v>28</v>
      </c>
      <c r="BJ710" s="127">
        <f>IF(COUNTIFS($B$327,"&lt;&gt;"&amp;""),ROUND(($G$329+$H$329+$I$329+$J$329),1),"")</f>
        <v>28</v>
      </c>
      <c r="BK710" s="127"/>
      <c r="BL710" s="127"/>
      <c r="BM710" s="127"/>
      <c r="BN710" s="127"/>
      <c r="BO710" s="127"/>
      <c r="BP710" s="127"/>
      <c r="BQ710" s="127">
        <f>IF(COUNTIFS($B$327,"&lt;&gt;"&amp;""),IF($M$329&lt;&gt;"",ROUND($M$329/14,1),""),"")</f>
        <v>5.0999999999999996</v>
      </c>
      <c r="BR710" s="127">
        <f>IF(COUNTIFS($B$327,"&lt;&gt;"&amp;""),IF($M$329&lt;&gt;"",ROUND($M$329,1),""),"")</f>
        <v>72</v>
      </c>
      <c r="BS710" s="127">
        <f>IF($AZ710="","",$E$329)</f>
        <v>4</v>
      </c>
      <c r="BT710" s="126" t="str">
        <f>IF(COUNTIFS($B$327,"&lt;&gt;"&amp;""),$L$329,"")</f>
        <v>DC</v>
      </c>
      <c r="BU710" s="126">
        <f>IF($AZ710="","",IF($BG710&lt;&gt;"",$BG710,0)+IF($BM710&lt;&gt;"",$BM710,0)+IF($BQ710&lt;&gt;"",$BQ710,0))</f>
        <v>7.1</v>
      </c>
      <c r="BV710" s="127">
        <f>IF($AZ710="","",IF($BJ710&lt;&gt;"",$BJ710,0)+IF($BP710&lt;&gt;"",$BP710,0)+IF($BR710&lt;&gt;"",$BR710,0))</f>
        <v>100</v>
      </c>
      <c r="BW710" s="420" t="str">
        <f t="shared" si="206"/>
        <v>2019</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19" t="s">
        <v>218</v>
      </c>
      <c r="AY714" s="522"/>
      <c r="AZ714" s="522"/>
      <c r="BA714" s="522"/>
      <c r="BB714" s="522"/>
      <c r="BC714" s="522"/>
      <c r="BD714" s="522"/>
      <c r="BE714" s="522"/>
      <c r="BF714" s="522"/>
      <c r="BG714" s="522"/>
      <c r="BH714" s="522"/>
      <c r="BI714" s="522"/>
      <c r="BJ714" s="522"/>
      <c r="BK714" s="522"/>
      <c r="BL714" s="522"/>
      <c r="BM714" s="522"/>
      <c r="BN714" s="522"/>
      <c r="BO714" s="522"/>
      <c r="BP714" s="522"/>
      <c r="BQ714" s="522"/>
      <c r="BR714" s="522"/>
      <c r="BS714" s="522"/>
      <c r="BT714" s="522"/>
      <c r="BU714" s="522"/>
      <c r="BV714" s="523"/>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L420.19.02.C11-01</v>
      </c>
      <c r="AY715" s="127">
        <v>1</v>
      </c>
      <c r="AZ715" s="127" t="str">
        <f>IF(COUNTIFS($N$327,"&lt;&gt;"&amp;""),$N$327,"")</f>
        <v>Pedagogie 1</v>
      </c>
      <c r="BA715" s="127">
        <f>IF($AZ715="","",ROUND(RIGHT($N$326,1)/2,0))</f>
        <v>1</v>
      </c>
      <c r="BB715" s="127" t="str">
        <f>IF($AZ715="","",RIGHT($N$326,1))</f>
        <v>2</v>
      </c>
      <c r="BC715" s="127" t="str">
        <f>IF($AZ715="","",$R$329)</f>
        <v>E</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6.9</v>
      </c>
      <c r="BR715" s="127">
        <f>IF(COUNTIFS($N$327,"&lt;&gt;"&amp;""),IF($Y$329&lt;&gt;"",ROUND($Y$329,1),""),"")</f>
        <v>97</v>
      </c>
      <c r="BS715" s="127">
        <f>IF($AZ715="","",$Q$329)</f>
        <v>5</v>
      </c>
      <c r="BT715" s="126" t="str">
        <f>IF(COUNTIFS($N$327,"&lt;&gt;"&amp;""),$X$329,"")</f>
        <v>DC</v>
      </c>
      <c r="BU715" s="126">
        <f>IF($AZ715="","",IF($BG715&lt;&gt;"",$BG715,0)+IF($BM715&lt;&gt;"",$BM715,0)+IF($BQ715&lt;&gt;"",$BQ715,0))</f>
        <v>8.9</v>
      </c>
      <c r="BV715" s="127">
        <f>IF($AZ715="","",IF($BJ715&lt;&gt;"",$BJ715,0)+IF($BP715&lt;&gt;"",$BP715,0)+IF($BR715&lt;&gt;"",$BR715,0))</f>
        <v>125</v>
      </c>
      <c r="BW715" s="420" t="str">
        <f t="shared" si="206"/>
        <v>2019</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L420.19.02.C11-02</v>
      </c>
      <c r="AY716" s="276">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6"/>
      <c r="BL716" s="127"/>
      <c r="BM716" s="127"/>
      <c r="BN716" s="276"/>
      <c r="BO716" s="127"/>
      <c r="BP716" s="127"/>
      <c r="BQ716" s="127">
        <f>IF(COUNTIFS($N$330,"&lt;&gt;"&amp;""),IF($Y$332&lt;&gt;"",ROUND($Y$332/14,1),""),"")</f>
        <v>1.6</v>
      </c>
      <c r="BR716" s="127">
        <f>IF(COUNTIFS($N$330,"&lt;&gt;"&amp;""),IF($Y$332&lt;&gt;"",ROUND($Y$332,1),""),"")</f>
        <v>22</v>
      </c>
      <c r="BS716" s="127">
        <f>IF($AZ716="","",$Q$332)</f>
        <v>2</v>
      </c>
      <c r="BT716" s="126" t="str">
        <f>IF(COUNTIFS($N$330,"&lt;&gt;"&amp;""),$X$332,"")</f>
        <v>DC</v>
      </c>
      <c r="BU716" s="126">
        <f t="shared" ref="BU716:BU718" si="209">IF($AZ716="","",IF($BG716&lt;&gt;"",$BG716,0)+IF($BM716&lt;&gt;"",$BM716,0)+IF($BQ716&lt;&gt;"",$BQ716,0))</f>
        <v>3.6</v>
      </c>
      <c r="BV716" s="127">
        <f t="shared" ref="BV716:BV718" si="210">IF($AZ716="","",IF($BJ716&lt;&gt;"",$BJ716,0)+IF($BP716&lt;&gt;"",$BP716,0)+IF($BR716&lt;&gt;"",$BR716,0))</f>
        <v>50</v>
      </c>
      <c r="BW716" s="420" t="str">
        <f t="shared" si="206"/>
        <v>2019</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19" t="s">
        <v>219</v>
      </c>
      <c r="AY719" s="520"/>
      <c r="AZ719" s="520"/>
      <c r="BA719" s="520"/>
      <c r="BB719" s="520"/>
      <c r="BC719" s="520"/>
      <c r="BD719" s="520"/>
      <c r="BE719" s="520"/>
      <c r="BF719" s="520"/>
      <c r="BG719" s="520"/>
      <c r="BH719" s="520"/>
      <c r="BI719" s="520"/>
      <c r="BJ719" s="520"/>
      <c r="BK719" s="520"/>
      <c r="BL719" s="520"/>
      <c r="BM719" s="520"/>
      <c r="BN719" s="520"/>
      <c r="BO719" s="520"/>
      <c r="BP719" s="520"/>
      <c r="BQ719" s="520"/>
      <c r="BR719" s="520"/>
      <c r="BS719" s="520"/>
      <c r="BT719" s="520"/>
      <c r="BU719" s="520"/>
      <c r="BV719" s="521"/>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L420.19.03.C11-01</v>
      </c>
      <c r="AY720" s="127">
        <v>1</v>
      </c>
      <c r="AZ720" s="127" t="str">
        <f>IF(COUNTIFS($Z$327,"&lt;&gt;"&amp;""),$Z$327,"")</f>
        <v>Pedagogie 2</v>
      </c>
      <c r="BA720" s="127">
        <f>IF($AZ720="","",ROUND(RIGHT($Z$326,1)/2,0))</f>
        <v>2</v>
      </c>
      <c r="BB720" s="127" t="str">
        <f>IF($AZ720="","",RIGHT($Z$326,1))</f>
        <v>3</v>
      </c>
      <c r="BC720" s="127" t="str">
        <f>IF($AZ720="","",$AD$329)</f>
        <v>E</v>
      </c>
      <c r="BD720" s="127" t="str">
        <f>IF($AZ720="","","DF")</f>
        <v>DF</v>
      </c>
      <c r="BE720" s="127">
        <f>IF(COUNTIFS($Z$327,"&lt;&gt;"&amp;""),ROUND($AE$329/14,1),"")</f>
        <v>0</v>
      </c>
      <c r="BF720" s="127">
        <f>IF(COUNTIFS($Z$327,"&lt;&gt;"&amp;""),ROUND(($AF$329+$AG$329+$AH$329)/14,1),"")</f>
        <v>2</v>
      </c>
      <c r="BG720" s="127">
        <f>IF(COUNTIFS($Z$327,"&lt;&gt;"&amp;""),ROUND(($AE$329+$AF$329+$AG$329+$AH$329)/14,1),"")</f>
        <v>2</v>
      </c>
      <c r="BH720" s="127">
        <f>IF(COUNTIFS($Z$327,"&lt;&gt;"&amp;""),ROUND($AE$329,1),"")</f>
        <v>0</v>
      </c>
      <c r="BI720" s="127">
        <f>IF(COUNTIFS($Z$327,"&lt;&gt;"&amp;""),ROUND(($AF$329+$AG$329+$AH$329),1),"")</f>
        <v>28</v>
      </c>
      <c r="BJ720" s="127">
        <f>IF(COUNTIFS($Z$327,"&lt;&gt;"&amp;""),ROUND(($AE$329+$AF$329+$AG$329+$AH$329),1),"")</f>
        <v>28</v>
      </c>
      <c r="BK720" s="127"/>
      <c r="BL720" s="127"/>
      <c r="BM720" s="127"/>
      <c r="BN720" s="127"/>
      <c r="BO720" s="127"/>
      <c r="BP720" s="127"/>
      <c r="BQ720" s="127">
        <f>IF(COUNTIFS($Z$327,"&lt;&gt;"&amp;""),IF($AK$329&lt;&gt;"",ROUND($AK$329/14,1),""),"")</f>
        <v>6.9</v>
      </c>
      <c r="BR720" s="127">
        <f>IF(COUNTIFS($Z$327,"&lt;&gt;"&amp;""),IF($AK$329&lt;&gt;"",ROUND($AK$329,1),""),"")</f>
        <v>97</v>
      </c>
      <c r="BS720" s="127">
        <f>IF($AZ720="","",$AC$329)</f>
        <v>5</v>
      </c>
      <c r="BT720" s="126" t="str">
        <f>IF(COUNTIFS($Z$327,"&lt;&gt;"&amp;""),$AJ$329,"")</f>
        <v>DC</v>
      </c>
      <c r="BU720" s="126">
        <f>IF($AZ720="","",IF($BG720&lt;&gt;"",$BG720,0)+IF($BM720&lt;&gt;"",$BM720,0)+IF($BQ720&lt;&gt;"",$BQ720,0))</f>
        <v>8.9</v>
      </c>
      <c r="BV720" s="127">
        <f>IF($AZ720="","",IF($BJ720&lt;&gt;"",$BJ720,0)+IF($BP720&lt;&gt;"",$BP720,0)+IF($BR720&lt;&gt;"",$BR720,0))</f>
        <v>125</v>
      </c>
      <c r="BW720" s="420" t="str">
        <f t="shared" si="206"/>
        <v>2020</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
      </c>
      <c r="AY721" s="276">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6"/>
      <c r="BL721" s="127"/>
      <c r="BM721" s="127"/>
      <c r="BN721" s="276"/>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19" t="s">
        <v>220</v>
      </c>
      <c r="AY724" s="520"/>
      <c r="AZ724" s="520"/>
      <c r="BA724" s="520"/>
      <c r="BB724" s="520"/>
      <c r="BC724" s="520"/>
      <c r="BD724" s="520"/>
      <c r="BE724" s="520"/>
      <c r="BF724" s="520"/>
      <c r="BG724" s="520"/>
      <c r="BH724" s="520"/>
      <c r="BI724" s="520"/>
      <c r="BJ724" s="520"/>
      <c r="BK724" s="520"/>
      <c r="BL724" s="520"/>
      <c r="BM724" s="520"/>
      <c r="BN724" s="520"/>
      <c r="BO724" s="520"/>
      <c r="BP724" s="520"/>
      <c r="BQ724" s="520"/>
      <c r="BR724" s="520"/>
      <c r="BS724" s="520"/>
      <c r="BT724" s="520"/>
      <c r="BU724" s="520"/>
      <c r="BV724" s="521"/>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L420.19.04.C11-01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0</v>
      </c>
      <c r="BF725" s="127">
        <f>IF(COUNTIFS($AL$327,"&lt;&gt;"&amp;""),ROUND(($AR$329+$AS$329+$AT$329)/14,1),"")</f>
        <v>2</v>
      </c>
      <c r="BG725" s="127">
        <f>IF(COUNTIFS($AL$327,"&lt;&gt;"&amp;""),ROUND(($AQ$329+$AR$329+$AS$329+$AT$329)/14,1),"")</f>
        <v>2</v>
      </c>
      <c r="BH725" s="127">
        <f>IF(COUNTIFS($AL$327,"&lt;&gt;"&amp;""),ROUND($AQ$329,1),"")</f>
        <v>0</v>
      </c>
      <c r="BI725" s="127">
        <f>IF(COUNTIFS($AL$327,"&lt;&gt;"&amp;""),ROUND(($AR$329+$AS$329+$AT$329),1),"")</f>
        <v>28</v>
      </c>
      <c r="BJ725" s="127">
        <f>IF(COUNTIFS($AL$327,"&lt;&gt;"&amp;""),ROUND(($AQ$329+$AR$329+$AS$329+$AT$329),1),"")</f>
        <v>28</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2</v>
      </c>
      <c r="BV725" s="127">
        <f>IF($AZ725="","",IF($BJ725&lt;&gt;"",$BJ725,0)+IF($BP725&lt;&gt;"",$BP725,0)+IF($BR725&lt;&gt;"",$BR725,0))</f>
        <v>28</v>
      </c>
      <c r="BW725" s="420" t="str">
        <f t="shared" si="206"/>
        <v>2020</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L420.19.04.C11-02</v>
      </c>
      <c r="AY726" s="276">
        <v>2</v>
      </c>
      <c r="AZ726" s="127" t="str">
        <f>IF(COUNTIFS($AL$330,"&lt;&gt;"&amp;""),$AL$330,"")</f>
        <v>Didactica specialităţii</v>
      </c>
      <c r="BA726" s="127">
        <f>IF($AZ726="","",ROUND(RIGHT($AL$326,1)/2,0))</f>
        <v>2</v>
      </c>
      <c r="BB726" s="127" t="str">
        <f>IF($AZ726="","",RIGHT($AL$326,1))</f>
        <v>4</v>
      </c>
      <c r="BC726" s="127" t="str">
        <f>IF($AZ726="","",$AP$332)</f>
        <v>E</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6.9</v>
      </c>
      <c r="BR726" s="127">
        <f>IF(COUNTIFS($AL$330,"&lt;&gt;"&amp;""),IF($AW$332&lt;&gt;"",ROUND($AW$332,1),""),"")</f>
        <v>97</v>
      </c>
      <c r="BS726" s="127">
        <f>IF($AZ726="","",$AO$332)</f>
        <v>5</v>
      </c>
      <c r="BT726" s="126" t="str">
        <f>IF(COUNTIFS($AL$330,"&lt;&gt;"&amp;""),$AV$332,"")</f>
        <v>DC</v>
      </c>
      <c r="BU726" s="126">
        <f t="shared" ref="BU726:BU728" si="213">IF($AZ726="","",IF($BG726&lt;&gt;"",$BG726,0)+IF($BM726&lt;&gt;"",$BM726,0)+IF($BQ726&lt;&gt;"",$BQ726,0))</f>
        <v>8.9</v>
      </c>
      <c r="BV726" s="127">
        <f t="shared" ref="BV726:BV728" si="214">IF($AZ726="","",IF($BJ726&lt;&gt;"",$BJ726,0)+IF($BP726&lt;&gt;"",$BP726,0)+IF($BR726&lt;&gt;"",$BR726,0))</f>
        <v>125</v>
      </c>
      <c r="BW726" s="420" t="str">
        <f t="shared" si="206"/>
        <v>2020</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19" t="s">
        <v>221</v>
      </c>
      <c r="AY729" s="520"/>
      <c r="AZ729" s="520"/>
      <c r="BA729" s="520"/>
      <c r="BB729" s="520"/>
      <c r="BC729" s="520"/>
      <c r="BD729" s="520"/>
      <c r="BE729" s="520"/>
      <c r="BF729" s="520"/>
      <c r="BG729" s="520"/>
      <c r="BH729" s="520"/>
      <c r="BI729" s="520"/>
      <c r="BJ729" s="520"/>
      <c r="BK729" s="520"/>
      <c r="BL729" s="520"/>
      <c r="BM729" s="520"/>
      <c r="BN729" s="520"/>
      <c r="BO729" s="520"/>
      <c r="BP729" s="520"/>
      <c r="BQ729" s="520"/>
      <c r="BR729" s="520"/>
      <c r="BS729" s="520"/>
      <c r="BT729" s="520"/>
      <c r="BU729" s="520"/>
      <c r="BV729" s="521"/>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L420.19.05.C11-01</v>
      </c>
      <c r="AY730" s="127">
        <v>1</v>
      </c>
      <c r="AZ730" s="127" t="str">
        <f>IF(COUNTIFS($B$350,"&lt;&gt;"&amp;""),$B$350,"")</f>
        <v xml:space="preserve">Comunicare educaţională </v>
      </c>
      <c r="BA730" s="127">
        <f>IF($AZ730="","",ROUND(RIGHT($B$349,1)/2,0))</f>
        <v>3</v>
      </c>
      <c r="BB730" s="127" t="str">
        <f>IF($AZ730="","",RIGHT($B$349,1))</f>
        <v>5</v>
      </c>
      <c r="BC730" s="127" t="str">
        <f>IF($AZ730="","",$F$352)</f>
        <v>C</v>
      </c>
      <c r="BD730" s="127" t="str">
        <f>IF($AZ730="","","DF")</f>
        <v>DF</v>
      </c>
      <c r="BE730" s="127">
        <f>IF(COUNTIFS($B$350,"&lt;&gt;"&amp;""),ROUND($G$352/14,1),"")</f>
        <v>0</v>
      </c>
      <c r="BF730" s="127">
        <f>IF(COUNTIFS($B$350,"&lt;&gt;"&amp;""),ROUND(($H$352+$I$352+$J$352)/14,1),"")</f>
        <v>2</v>
      </c>
      <c r="BG730" s="127">
        <f>IF(COUNTIFS($B$350,"&lt;&gt;"&amp;""),ROUND(($G$352+$H$352+$I$352+$J$352)/14,1),"")</f>
        <v>2</v>
      </c>
      <c r="BH730" s="127">
        <f>IF(COUNTIFS($B$350,"&lt;&gt;"&amp;""),ROUND($G$352,1),"")</f>
        <v>0</v>
      </c>
      <c r="BI730" s="127">
        <f>IF(COUNTIFS($B$350,"&lt;&gt;"&amp;""),ROUND(($H$352+$I$352+$J$352),1),"")</f>
        <v>28</v>
      </c>
      <c r="BJ730" s="127">
        <f>IF(COUNTIFS($B$350,"&lt;&gt;"&amp;""),ROUND(($G$352+$H$352+$I$352+$J$352),1),"")</f>
        <v>28</v>
      </c>
      <c r="BK730" s="127"/>
      <c r="BL730" s="127"/>
      <c r="BM730" s="127"/>
      <c r="BN730" s="127"/>
      <c r="BO730" s="127"/>
      <c r="BP730" s="127"/>
      <c r="BQ730" s="127">
        <f>IF(COUNTIFS($B$350,"&lt;&gt;"&amp;""),IF($M$352&lt;&gt;"",ROUND($M$352/14,1),""),"")</f>
        <v>5.0999999999999996</v>
      </c>
      <c r="BR730" s="127">
        <f>IF(COUNTIFS($B$350,"&lt;&gt;"&amp;""),IF($M$352&lt;&gt;"",ROUND($M$352,1),""),"")</f>
        <v>72</v>
      </c>
      <c r="BS730" s="127">
        <f>IF($AZ730="","",$E$352)</f>
        <v>4</v>
      </c>
      <c r="BT730" s="126" t="str">
        <f>IF(COUNTIFS($B$350,"&lt;&gt;"&amp;""),$L$352,"")</f>
        <v>DC</v>
      </c>
      <c r="BU730" s="126">
        <f>IF($AZ730="","",IF($BG730&lt;&gt;"",$BG730,0)+IF($BM730&lt;&gt;"",$BM730,0)+IF($BQ730&lt;&gt;"",$BQ730,0))</f>
        <v>7.1</v>
      </c>
      <c r="BV730" s="127">
        <f>IF($AZ730="","",IF($BJ730&lt;&gt;"",$BJ730,0)+IF($BP730&lt;&gt;"",$BP730,0)+IF($BR730&lt;&gt;"",$BR730,0))</f>
        <v>100</v>
      </c>
      <c r="BW730" s="420" t="str">
        <f t="shared" si="206"/>
        <v>2021</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L420.19.05.C11-02</v>
      </c>
      <c r="AY731" s="276">
        <v>2</v>
      </c>
      <c r="AZ731" s="127" t="str">
        <f>IF(COUNTIFS($B$353,"&lt;&gt;"&amp;""),$B$353,"")</f>
        <v>Practică pedagogică</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3</v>
      </c>
      <c r="BG731" s="127">
        <f>IF(COUNTIFS($B$353,"&lt;&gt;"&amp;""),ROUND(($G$355+$H$355+$I$355+$J$355)/14,1),"")</f>
        <v>3</v>
      </c>
      <c r="BH731" s="127">
        <f>IF(COUNTIFS($B$353,"&lt;&gt;"&amp;""),ROUND($G$355,1),"")</f>
        <v>0</v>
      </c>
      <c r="BI731" s="127">
        <f>IF(COUNTIFS($B$353,"&lt;&gt;"&amp;""),ROUND(($H$355+$I$355+$J$355),1),"")</f>
        <v>42</v>
      </c>
      <c r="BJ731" s="127">
        <f>IF(COUNTIFS($B$353,"&lt;&gt;"&amp;""),ROUND(($G$355+$H$355+$I$355+$J$355),1),"")</f>
        <v>42</v>
      </c>
      <c r="BK731" s="276"/>
      <c r="BL731" s="127"/>
      <c r="BM731" s="127"/>
      <c r="BN731" s="276"/>
      <c r="BO731" s="127"/>
      <c r="BP731" s="127"/>
      <c r="BQ731" s="127">
        <f>IF(COUNTIFS($B$353,"&lt;&gt;"&amp;""),IF($M$355&lt;&gt;"",ROUND($M$355/14,1),""),"")</f>
        <v>2.4</v>
      </c>
      <c r="BR731" s="127">
        <f>IF(COUNTIFS($B$353,"&lt;&gt;"&amp;""),IF($M$355&lt;&gt;"",ROUND($M$355,1),""),"")</f>
        <v>33</v>
      </c>
      <c r="BS731" s="127">
        <f>IF($AZ731="","",$E$355)</f>
        <v>3</v>
      </c>
      <c r="BT731" s="126" t="str">
        <f>IF(COUNTIFS($B$353,"&lt;&gt;"&amp;""),$L$355,"")</f>
        <v>DC</v>
      </c>
      <c r="BU731" s="126">
        <f t="shared" ref="BU731:BU733" si="215">IF($AZ731="","",IF($BG731&lt;&gt;"",$BG731,0)+IF($BM731&lt;&gt;"",$BM731,0)+IF($BQ731&lt;&gt;"",$BQ731,0))</f>
        <v>5.4</v>
      </c>
      <c r="BV731" s="127">
        <f t="shared" ref="BV731:BV733" si="216">IF($AZ731="","",IF($BJ731&lt;&gt;"",$BJ731,0)+IF($BP731&lt;&gt;"",$BP731,0)+IF($BR731&lt;&gt;"",$BR731,0))</f>
        <v>75</v>
      </c>
      <c r="BW731" s="420" t="str">
        <f t="shared" si="206"/>
        <v>2021</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19" t="s">
        <v>222</v>
      </c>
      <c r="AY734" s="520"/>
      <c r="AZ734" s="520"/>
      <c r="BA734" s="520"/>
      <c r="BB734" s="520"/>
      <c r="BC734" s="520"/>
      <c r="BD734" s="520"/>
      <c r="BE734" s="520"/>
      <c r="BF734" s="520"/>
      <c r="BG734" s="520"/>
      <c r="BH734" s="520"/>
      <c r="BI734" s="520"/>
      <c r="BJ734" s="520"/>
      <c r="BK734" s="520"/>
      <c r="BL734" s="520"/>
      <c r="BM734" s="520"/>
      <c r="BN734" s="520"/>
      <c r="BO734" s="520"/>
      <c r="BP734" s="520"/>
      <c r="BQ734" s="520"/>
      <c r="BR734" s="520"/>
      <c r="BS734" s="520"/>
      <c r="BT734" s="520"/>
      <c r="BU734" s="520"/>
      <c r="BV734" s="521"/>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L420.19.06.C11-01</v>
      </c>
      <c r="AY735" s="127">
        <v>1</v>
      </c>
      <c r="AZ735" s="127" t="str">
        <f>IF(COUNTIFS($N$350,"&lt;&gt;"&amp;""),$N$350,"")</f>
        <v>Practică pedagogică 2</v>
      </c>
      <c r="BA735" s="127">
        <f>IF($AZ735="","",ROUND(RIGHT($N$349,1)/2,0))</f>
        <v>3</v>
      </c>
      <c r="BB735" s="127" t="str">
        <f>IF($AZ735="","",RIGHT($N$349,1))</f>
        <v>6</v>
      </c>
      <c r="BC735" s="127" t="str">
        <f>IF($AZ735="","",$R$352)</f>
        <v>C</v>
      </c>
      <c r="BD735" s="127" t="str">
        <f>IF($AZ735="","","DF")</f>
        <v>DF</v>
      </c>
      <c r="BE735" s="127">
        <f>IF(COUNTIFS($N$350,"&lt;&gt;"&amp;""),ROUND($S$352/14,1),"")</f>
        <v>0</v>
      </c>
      <c r="BF735" s="127">
        <f>IF(COUNTIFS($N$350,"&lt;&gt;"&amp;""),ROUND(($T$352+$U$352+$V$352)/14,1),"")</f>
        <v>3</v>
      </c>
      <c r="BG735" s="127">
        <f>IF(COUNTIFS($N$350,"&lt;&gt;"&amp;""),ROUND(($S$352+$T$352+$U$352+$V$352)/14,1),"")</f>
        <v>3</v>
      </c>
      <c r="BH735" s="127">
        <f>IF(COUNTIFS($N$350,"&lt;&gt;"&amp;""),ROUND($S$352,1),"")</f>
        <v>0</v>
      </c>
      <c r="BI735" s="127">
        <f>IF(COUNTIFS($N$350,"&lt;&gt;"&amp;""),ROUND(($T$352+$U$352+$V$352),1),"")</f>
        <v>42</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DC</v>
      </c>
      <c r="BU735" s="126">
        <f>IF($AZ735="","",IF($BG735&lt;&gt;"",$BG735,0)+IF($BM735&lt;&gt;"",$BM735,0)+IF($BQ735&lt;&gt;"",$BQ735,0))</f>
        <v>5.4</v>
      </c>
      <c r="BV735" s="127">
        <f>IF($AZ735="","",IF($BJ735&lt;&gt;"",$BJ735,0)+IF($BP735&lt;&gt;"",$BP735,0)+IF($BR735&lt;&gt;"",$BR735,0))</f>
        <v>75</v>
      </c>
      <c r="BW735" s="420" t="str">
        <f t="shared" si="206"/>
        <v>2021</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L420.19.06.C11-02</v>
      </c>
      <c r="AY736" s="276">
        <v>2</v>
      </c>
      <c r="AZ736" s="127" t="str">
        <f>IF(COUNTIFS($N$353,"&lt;&gt;"&amp;""),$N$353,"")</f>
        <v>Evaluare finală - Portofoliu didactic</v>
      </c>
      <c r="BA736" s="127">
        <f>IF($AZ736="","",ROUND(RIGHT($N$349,1)/2,0))</f>
        <v>3</v>
      </c>
      <c r="BB736" s="127" t="str">
        <f>IF($AZ736="","",RIGHT($N$349,1))</f>
        <v>6</v>
      </c>
      <c r="BC736" s="127" t="str">
        <f>IF($AZ736="","",$R$355)</f>
        <v>E</v>
      </c>
      <c r="BD736" s="127" t="str">
        <f>IF($AZ736="","","DF")</f>
        <v>DF</v>
      </c>
      <c r="BE736" s="127">
        <f>IF(COUNTIFS($N$353,"&lt;&gt;"&amp;""),ROUND($S$355/14,1),"")</f>
        <v>0</v>
      </c>
      <c r="BF736" s="127">
        <f>IF(COUNTIFS($N$353,"&lt;&gt;"&amp;""),ROUND(($T$355+$U$355+$V$355)/14,1),"")</f>
        <v>1</v>
      </c>
      <c r="BG736" s="127">
        <f>IF(COUNTIFS($N$353,"&lt;&gt;"&amp;""),ROUND(($S$355+$T$355+$U$355+$V$355)/14,1),"")</f>
        <v>1</v>
      </c>
      <c r="BH736" s="127">
        <f>IF(COUNTIFS($N$353,"&lt;&gt;"&amp;""),ROUND($S$355,1),"")</f>
        <v>0</v>
      </c>
      <c r="BI736" s="127">
        <f>IF(COUNTIFS($N$353,"&lt;&gt;"&amp;""),ROUND(($T$355+$U$355+$V$355),1),"")</f>
        <v>14</v>
      </c>
      <c r="BJ736" s="127">
        <f>IF(COUNTIFS($N$353,"&lt;&gt;"&amp;""),ROUND(($S$355+$T$355+$U$355+$V$355),1),"")</f>
        <v>14</v>
      </c>
      <c r="BK736" s="276"/>
      <c r="BL736" s="127"/>
      <c r="BM736" s="127"/>
      <c r="BN736" s="276"/>
      <c r="BO736" s="127"/>
      <c r="BP736" s="127"/>
      <c r="BQ736" s="127">
        <f>IF(COUNTIFS($N$353,"&lt;&gt;"&amp;""),IF($Y$355&lt;&gt;"",ROUND($Y$355/14,1),""),"")</f>
        <v>0.8</v>
      </c>
      <c r="BR736" s="127">
        <f>IF(COUNTIFS($N$353,"&lt;&gt;"&amp;""),IF($Y$355&lt;&gt;"",ROUND($Y$355,1),""),"")</f>
        <v>11</v>
      </c>
      <c r="BS736" s="127">
        <f>IF($AZ736="","",$Q$355)</f>
        <v>1</v>
      </c>
      <c r="BT736" s="126" t="str">
        <f>IF(COUNTIFS($N$353,"&lt;&gt;"&amp;""),$X$355,"")</f>
        <v>DC</v>
      </c>
      <c r="BU736" s="126">
        <f t="shared" ref="BU736:BU738" si="217">IF($AZ736="","",IF($BG736&lt;&gt;"",$BG736,0)+IF($BM736&lt;&gt;"",$BM736,0)+IF($BQ736&lt;&gt;"",$BQ736,0))</f>
        <v>1.8</v>
      </c>
      <c r="BV736" s="127">
        <f t="shared" ref="BV736:BV738" si="218">IF($AZ736="","",IF($BJ736&lt;&gt;"",$BJ736,0)+IF($BP736&lt;&gt;"",$BP736,0)+IF($BR736&lt;&gt;"",$BR736,0))</f>
        <v>25</v>
      </c>
      <c r="BW736" s="420" t="str">
        <f t="shared" si="206"/>
        <v>2021</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L420.19.06.C11-03</v>
      </c>
      <c r="AY737" s="276">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6"/>
      <c r="BL737" s="127"/>
      <c r="BM737" s="127"/>
      <c r="BN737" s="276"/>
      <c r="BO737" s="127"/>
      <c r="BP737" s="127"/>
      <c r="BQ737" s="127">
        <f>IF(COUNTIFS($N$356,"&lt;&gt;"&amp;""),IF($Y$358&lt;&gt;"",ROUND($Y$358/14,1),""),"")</f>
        <v>1.6</v>
      </c>
      <c r="BR737" s="127">
        <f>IF(COUNTIFS($N$356,"&lt;&gt;"&amp;""),IF($Y$358&lt;&gt;"",ROUND($Y$358,1),""),"")</f>
        <v>22</v>
      </c>
      <c r="BS737" s="127">
        <f>IF($AZ737="","",$Q$358)</f>
        <v>2</v>
      </c>
      <c r="BT737" s="126" t="str">
        <f>IF(COUNTIFS($N$356,"&lt;&gt;"&amp;""),$X$358,"")</f>
        <v>DC</v>
      </c>
      <c r="BU737" s="126">
        <f t="shared" si="217"/>
        <v>3.6</v>
      </c>
      <c r="BV737" s="127">
        <f t="shared" si="218"/>
        <v>50</v>
      </c>
      <c r="BW737" s="420" t="str">
        <f t="shared" si="206"/>
        <v>2021</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19" t="s">
        <v>223</v>
      </c>
      <c r="AY739" s="520"/>
      <c r="AZ739" s="520"/>
      <c r="BA739" s="520"/>
      <c r="BB739" s="520"/>
      <c r="BC739" s="520"/>
      <c r="BD739" s="520"/>
      <c r="BE739" s="520"/>
      <c r="BF739" s="520"/>
      <c r="BG739" s="520"/>
      <c r="BH739" s="520"/>
      <c r="BI739" s="520"/>
      <c r="BJ739" s="520"/>
      <c r="BK739" s="520"/>
      <c r="BL739" s="520"/>
      <c r="BM739" s="520"/>
      <c r="BN739" s="520"/>
      <c r="BO739" s="520"/>
      <c r="BP739" s="520"/>
      <c r="BQ739" s="520"/>
      <c r="BR739" s="520"/>
      <c r="BS739" s="520"/>
      <c r="BT739" s="520"/>
      <c r="BU739" s="520"/>
      <c r="BV739" s="521"/>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20" t="str">
        <f t="shared" si="206"/>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19" t="s">
        <v>224</v>
      </c>
      <c r="AY744" s="520"/>
      <c r="AZ744" s="520"/>
      <c r="BA744" s="520"/>
      <c r="BB744" s="520"/>
      <c r="BC744" s="520"/>
      <c r="BD744" s="520"/>
      <c r="BE744" s="520"/>
      <c r="BF744" s="520"/>
      <c r="BG744" s="520"/>
      <c r="BH744" s="520"/>
      <c r="BI744" s="520"/>
      <c r="BJ744" s="520"/>
      <c r="BK744" s="520"/>
      <c r="BL744" s="520"/>
      <c r="BM744" s="520"/>
      <c r="BN744" s="520"/>
      <c r="BO744" s="520"/>
      <c r="BP744" s="520"/>
      <c r="BQ744" s="520"/>
      <c r="BR744" s="520"/>
      <c r="BS744" s="520"/>
      <c r="BT744" s="520"/>
      <c r="BU744" s="520"/>
      <c r="BV744" s="521"/>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L420.19.08.C11-01</v>
      </c>
      <c r="AY745" s="127">
        <v>1</v>
      </c>
      <c r="AZ745" s="127" t="str">
        <f>IF(COUNTIFS($AL$350,"&lt;&gt;"&amp;""),$AL$350,"")</f>
        <v>Voluntariat</v>
      </c>
      <c r="BA745" s="127">
        <f>IF($AZ745="","",ROUND(RIGHT($AL$349,1)/2,0))</f>
        <v>4</v>
      </c>
      <c r="BB745" s="127" t="str">
        <f>IF($AZ745="","",RIGHT($AL$349,1))</f>
        <v>8</v>
      </c>
      <c r="BC745" s="127" t="str">
        <f>IF($AZ745="","",$AP$352)</f>
        <v>C</v>
      </c>
      <c r="BD745" s="127" t="str">
        <f>IF($AZ745="","","DF")</f>
        <v>DF</v>
      </c>
      <c r="BE745" s="127">
        <f>IF(COUNTIFS($AL$350,"&lt;&gt;"&amp;""),ROUND($AQ$352/14,1),"")</f>
        <v>0</v>
      </c>
      <c r="BF745" s="127">
        <f>IF(COUNTIFS($AL$350,"&lt;&gt;"&amp;""),ROUND(($AR$352+$AS$352+$AT$352)/14,1),"")</f>
        <v>2</v>
      </c>
      <c r="BG745" s="127">
        <f>IF(COUNTIFS($AL$350,"&lt;&gt;"&amp;""),ROUND(($AQ$352+$AR$352+$AS$352+$AT$352)/14,1),"")</f>
        <v>2</v>
      </c>
      <c r="BH745" s="127">
        <f>IF(COUNTIFS($AL$350,"&lt;&gt;"&amp;""),ROUND($AQ$352,1),"")</f>
        <v>0</v>
      </c>
      <c r="BI745" s="127">
        <f>IF(COUNTIFS($AL$350,"&lt;&gt;"&amp;""),ROUND(($AR$352+$AS$352+$AT$352),1),"")</f>
        <v>28</v>
      </c>
      <c r="BJ745" s="127">
        <f>IF(COUNTIFS($AL$350,"&lt;&gt;"&amp;""),ROUND(($AQ$352+$AR$352+$AS$352+$AT$352),1),"")</f>
        <v>28</v>
      </c>
      <c r="BK745" s="127"/>
      <c r="BL745" s="127"/>
      <c r="BM745" s="127"/>
      <c r="BN745" s="127"/>
      <c r="BO745" s="127"/>
      <c r="BP745" s="127"/>
      <c r="BQ745" s="127">
        <f>IF(COUNTIFS($AL$350,"&lt;&gt;"&amp;""),IF($AW$352&lt;&gt;"",ROUND($AW$352/14,1),""),"")</f>
        <v>1.6</v>
      </c>
      <c r="BR745" s="127">
        <f>IF(COUNTIFS($AL$350,"&lt;&gt;"&amp;""),IF($AW$352&lt;&gt;"",ROUND($AW$352,1),""),"")</f>
        <v>22</v>
      </c>
      <c r="BS745" s="127">
        <f>IF($AZ745="","",$AO$352)</f>
        <v>2</v>
      </c>
      <c r="BT745" s="126" t="str">
        <f>IF(COUNTIFS($AL$350,"&lt;&gt;"&amp;""),$AV$352,"")</f>
        <v>DC</v>
      </c>
      <c r="BU745" s="126">
        <f>IF($AZ745="","",IF($BG745&lt;&gt;"",$BG745,0)+IF($BM745&lt;&gt;"",$BM745,0)+IF($BQ745&lt;&gt;"",$BQ745,0))</f>
        <v>3.6</v>
      </c>
      <c r="BV745" s="127">
        <f>IF($AZ745="","",IF($BJ745&lt;&gt;"",$BJ745,0)+IF($BP745&lt;&gt;"",$BP745,0)+IF($BR745&lt;&gt;"",$BR745,0))</f>
        <v>50</v>
      </c>
      <c r="BW745" s="420" t="str">
        <f t="shared" si="206"/>
        <v>2022</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19" t="s">
        <v>225</v>
      </c>
      <c r="AY751" s="522"/>
      <c r="AZ751" s="522"/>
      <c r="BA751" s="522"/>
      <c r="BB751" s="522"/>
      <c r="BC751" s="522"/>
      <c r="BD751" s="522"/>
      <c r="BE751" s="522"/>
      <c r="BF751" s="522"/>
      <c r="BG751" s="522"/>
      <c r="BH751" s="522"/>
      <c r="BI751" s="522"/>
      <c r="BJ751" s="522"/>
      <c r="BK751" s="522"/>
      <c r="BL751" s="522"/>
      <c r="BM751" s="522"/>
      <c r="BN751" s="522"/>
      <c r="BO751" s="522"/>
      <c r="BP751" s="522"/>
      <c r="BQ751" s="522"/>
      <c r="BR751" s="522"/>
      <c r="BS751" s="522"/>
      <c r="BT751" s="522"/>
      <c r="BU751" s="522"/>
      <c r="BV751" s="523"/>
      <c r="BW751" s="420" t="str">
        <f t="shared" si="206"/>
        <v/>
      </c>
    </row>
    <row r="752" spans="1:98" ht="21" hidden="1" customHeight="1" x14ac:dyDescent="0.25">
      <c r="AX752" s="519" t="s">
        <v>217</v>
      </c>
      <c r="AY752" s="520"/>
      <c r="AZ752" s="520"/>
      <c r="BA752" s="520"/>
      <c r="BB752" s="520"/>
      <c r="BC752" s="520"/>
      <c r="BD752" s="520"/>
      <c r="BE752" s="520"/>
      <c r="BF752" s="520"/>
      <c r="BG752" s="520"/>
      <c r="BH752" s="520"/>
      <c r="BI752" s="520"/>
      <c r="BJ752" s="520"/>
      <c r="BK752" s="520"/>
      <c r="BL752" s="520"/>
      <c r="BM752" s="520"/>
      <c r="BN752" s="520"/>
      <c r="BO752" s="520"/>
      <c r="BP752" s="520"/>
      <c r="BQ752" s="520"/>
      <c r="BR752" s="520"/>
      <c r="BS752" s="520"/>
      <c r="BT752" s="520"/>
      <c r="BU752" s="520"/>
      <c r="BV752" s="521"/>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19" t="s">
        <v>218</v>
      </c>
      <c r="AY765" s="520"/>
      <c r="AZ765" s="520"/>
      <c r="BA765" s="520"/>
      <c r="BB765" s="520"/>
      <c r="BC765" s="520"/>
      <c r="BD765" s="520"/>
      <c r="BE765" s="520"/>
      <c r="BF765" s="520"/>
      <c r="BG765" s="520"/>
      <c r="BH765" s="520"/>
      <c r="BI765" s="520"/>
      <c r="BJ765" s="520"/>
      <c r="BK765" s="520"/>
      <c r="BL765" s="520"/>
      <c r="BM765" s="520"/>
      <c r="BN765" s="520"/>
      <c r="BO765" s="520"/>
      <c r="BP765" s="520"/>
      <c r="BQ765" s="520"/>
      <c r="BR765" s="520"/>
      <c r="BS765" s="520"/>
      <c r="BT765" s="520"/>
      <c r="BU765" s="520"/>
      <c r="BV765" s="521"/>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19" t="s">
        <v>219</v>
      </c>
      <c r="AY777" s="520"/>
      <c r="AZ777" s="520"/>
      <c r="BA777" s="520"/>
      <c r="BB777" s="520"/>
      <c r="BC777" s="520"/>
      <c r="BD777" s="520"/>
      <c r="BE777" s="520"/>
      <c r="BF777" s="520"/>
      <c r="BG777" s="520"/>
      <c r="BH777" s="520"/>
      <c r="BI777" s="520"/>
      <c r="BJ777" s="520"/>
      <c r="BK777" s="520"/>
      <c r="BL777" s="520"/>
      <c r="BM777" s="520"/>
      <c r="BN777" s="520"/>
      <c r="BO777" s="520"/>
      <c r="BP777" s="520"/>
      <c r="BQ777" s="520"/>
      <c r="BR777" s="520"/>
      <c r="BS777" s="520"/>
      <c r="BT777" s="520"/>
      <c r="BU777" s="520"/>
      <c r="BV777" s="521"/>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19" t="s">
        <v>220</v>
      </c>
      <c r="AY789" s="520"/>
      <c r="AZ789" s="520"/>
      <c r="BA789" s="520"/>
      <c r="BB789" s="520"/>
      <c r="BC789" s="520"/>
      <c r="BD789" s="520"/>
      <c r="BE789" s="520"/>
      <c r="BF789" s="520"/>
      <c r="BG789" s="520"/>
      <c r="BH789" s="520"/>
      <c r="BI789" s="520"/>
      <c r="BJ789" s="520"/>
      <c r="BK789" s="520"/>
      <c r="BL789" s="520"/>
      <c r="BM789" s="520"/>
      <c r="BN789" s="520"/>
      <c r="BO789" s="520"/>
      <c r="BP789" s="520"/>
      <c r="BQ789" s="520"/>
      <c r="BR789" s="520"/>
      <c r="BS789" s="520"/>
      <c r="BT789" s="520"/>
      <c r="BU789" s="520"/>
      <c r="BV789" s="521"/>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L420.19.04.D9</v>
      </c>
      <c r="AY798" s="273">
        <v>9</v>
      </c>
      <c r="AZ798" s="273"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2">
        <f t="shared" si="253"/>
        <v>2.9</v>
      </c>
      <c r="BL798" s="124"/>
      <c r="BM798" s="312">
        <f t="shared" si="254"/>
        <v>2.9</v>
      </c>
      <c r="BN798" s="273">
        <f>IF(COUNTIFS($AL$43,"=practic?*"),AU45,"")</f>
        <v>40</v>
      </c>
      <c r="BO798" s="124"/>
      <c r="BP798" s="312">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20" t="str">
        <f t="shared" si="231"/>
        <v>2020</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19" t="s">
        <v>221</v>
      </c>
      <c r="AY801" s="520"/>
      <c r="AZ801" s="520"/>
      <c r="BA801" s="520"/>
      <c r="BB801" s="520"/>
      <c r="BC801" s="520"/>
      <c r="BD801" s="520"/>
      <c r="BE801" s="520"/>
      <c r="BF801" s="520"/>
      <c r="BG801" s="520"/>
      <c r="BH801" s="520"/>
      <c r="BI801" s="520"/>
      <c r="BJ801" s="520"/>
      <c r="BK801" s="520"/>
      <c r="BL801" s="520"/>
      <c r="BM801" s="520"/>
      <c r="BN801" s="520"/>
      <c r="BO801" s="520"/>
      <c r="BP801" s="520"/>
      <c r="BQ801" s="520"/>
      <c r="BR801" s="520"/>
      <c r="BS801" s="520"/>
      <c r="BT801" s="520"/>
      <c r="BU801" s="520"/>
      <c r="BV801" s="521"/>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L420.19.05.D8</v>
      </c>
      <c r="AY809" s="273">
        <v>8</v>
      </c>
      <c r="AZ809" s="273" t="str">
        <f>IF(COUNTIFS($B$92,"=practic?*"),$B$92,"")</f>
        <v>Practica 2 de domeniu</v>
      </c>
      <c r="BA809" s="273">
        <f t="shared" si="256"/>
        <v>3</v>
      </c>
      <c r="BB809" s="273" t="str">
        <f t="shared" si="257"/>
        <v>5</v>
      </c>
      <c r="BC809" s="273" t="str">
        <f>IF($AZ809="","",$F$94)</f>
        <v>C</v>
      </c>
      <c r="BD809" s="273" t="str">
        <f t="shared" si="258"/>
        <v>DI</v>
      </c>
      <c r="BE809" s="124"/>
      <c r="BF809" s="124"/>
      <c r="BG809" s="124"/>
      <c r="BH809" s="124"/>
      <c r="BI809" s="124"/>
      <c r="BJ809" s="124"/>
      <c r="BK809" s="319">
        <f t="shared" si="259"/>
        <v>7.1</v>
      </c>
      <c r="BL809" s="124"/>
      <c r="BM809" s="319">
        <f t="shared" si="260"/>
        <v>7.1</v>
      </c>
      <c r="BN809" s="273">
        <f>IF(COUNTIFS($B$92,"=practic?*"),K94,"")</f>
        <v>100</v>
      </c>
      <c r="BO809" s="124"/>
      <c r="BP809" s="319">
        <f t="shared" si="261"/>
        <v>100</v>
      </c>
      <c r="BQ809" s="127">
        <f>IF(COUNTIF($AZ809,"=practic?*"),IF($M$94&lt;&gt;"",ROUND($M$94/14,1),""),"")</f>
        <v>0</v>
      </c>
      <c r="BR809" s="127">
        <f>IF(COUNTIF($AZ809,"=practic?*"),IF($M$94&lt;&gt;"",ROUND($M$94,1),""),"")</f>
        <v>0</v>
      </c>
      <c r="BS809" s="273">
        <f>IF($AZ809="","",$E$94)</f>
        <v>3</v>
      </c>
      <c r="BT809" s="126" t="str">
        <f>IF($AZ809="","",$L$94)</f>
        <v>DD</v>
      </c>
      <c r="BU809" s="126">
        <f t="shared" si="262"/>
        <v>7.1</v>
      </c>
      <c r="BV809" s="127">
        <f t="shared" si="263"/>
        <v>100</v>
      </c>
      <c r="BW809" s="420" t="str">
        <f t="shared" si="231"/>
        <v>2021</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19" t="s">
        <v>222</v>
      </c>
      <c r="AY812" s="520"/>
      <c r="AZ812" s="520"/>
      <c r="BA812" s="520"/>
      <c r="BB812" s="520"/>
      <c r="BC812" s="520"/>
      <c r="BD812" s="520"/>
      <c r="BE812" s="520"/>
      <c r="BF812" s="520"/>
      <c r="BG812" s="520"/>
      <c r="BH812" s="520"/>
      <c r="BI812" s="520"/>
      <c r="BJ812" s="520"/>
      <c r="BK812" s="520"/>
      <c r="BL812" s="520"/>
      <c r="BM812" s="520"/>
      <c r="BN812" s="520"/>
      <c r="BO812" s="520"/>
      <c r="BP812" s="520"/>
      <c r="BQ812" s="520"/>
      <c r="BR812" s="520"/>
      <c r="BS812" s="520"/>
      <c r="BT812" s="520"/>
      <c r="BU812" s="520"/>
      <c r="BV812" s="521"/>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L420.19.06.S8</v>
      </c>
      <c r="AY820" s="273">
        <v>8</v>
      </c>
      <c r="AZ820" s="273" t="str">
        <f>IF(COUNTIFS($N$92,"=practic?*"),$N$92,"")</f>
        <v>Practica 3 de specialitate</v>
      </c>
      <c r="BA820" s="273">
        <f t="shared" si="267"/>
        <v>3</v>
      </c>
      <c r="BB820" s="273" t="str">
        <f t="shared" si="268"/>
        <v>6</v>
      </c>
      <c r="BC820" s="273" t="str">
        <f>IF($AZ820="","",$R$94)</f>
        <v>C</v>
      </c>
      <c r="BD820" s="273" t="str">
        <f t="shared" si="269"/>
        <v>DI</v>
      </c>
      <c r="BE820" s="124"/>
      <c r="BF820" s="124"/>
      <c r="BG820" s="124"/>
      <c r="BH820" s="124"/>
      <c r="BI820" s="124"/>
      <c r="BJ820" s="124"/>
      <c r="BK820" s="319">
        <f t="shared" si="264"/>
        <v>7.1</v>
      </c>
      <c r="BL820" s="124"/>
      <c r="BM820" s="319">
        <f t="shared" si="265"/>
        <v>7.1</v>
      </c>
      <c r="BN820" s="273">
        <f>IF(COUNTIFS($N$92,"=practic?*"),W94,"")</f>
        <v>100</v>
      </c>
      <c r="BO820" s="124"/>
      <c r="BP820" s="319">
        <f t="shared" si="266"/>
        <v>100</v>
      </c>
      <c r="BQ820" s="127">
        <f>IF(COUNTIF($AZ820,"=practic?*"),IF($Y$94&lt;&gt;"",ROUND($Y$94/14,1),""),"")</f>
        <v>0</v>
      </c>
      <c r="BR820" s="127">
        <f>IF(COUNTIF($AZ820,"=practic?*"),IF($Y$94&lt;&gt;"",ROUND($Y$94,1),""),"")</f>
        <v>0</v>
      </c>
      <c r="BS820" s="273">
        <f>IF($AZ820="","",$Q$94)</f>
        <v>3</v>
      </c>
      <c r="BT820" s="126" t="str">
        <f>IF($AZ820="","",$X$94)</f>
        <v>DS</v>
      </c>
      <c r="BU820" s="126">
        <f t="shared" si="270"/>
        <v>7.1</v>
      </c>
      <c r="BV820" s="127">
        <f t="shared" si="271"/>
        <v>100</v>
      </c>
      <c r="BW820" s="420" t="str">
        <f t="shared" si="231"/>
        <v>2021</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19" t="s">
        <v>223</v>
      </c>
      <c r="AY823" s="520"/>
      <c r="AZ823" s="520"/>
      <c r="BA823" s="520"/>
      <c r="BB823" s="520"/>
      <c r="BC823" s="520"/>
      <c r="BD823" s="520"/>
      <c r="BE823" s="520"/>
      <c r="BF823" s="520"/>
      <c r="BG823" s="520"/>
      <c r="BH823" s="520"/>
      <c r="BI823" s="520"/>
      <c r="BJ823" s="520"/>
      <c r="BK823" s="520"/>
      <c r="BL823" s="520"/>
      <c r="BM823" s="520"/>
      <c r="BN823" s="520"/>
      <c r="BO823" s="520"/>
      <c r="BP823" s="520"/>
      <c r="BQ823" s="520"/>
      <c r="BR823" s="520"/>
      <c r="BS823" s="520"/>
      <c r="BT823" s="520"/>
      <c r="BU823" s="520"/>
      <c r="BV823" s="521"/>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19" t="s">
        <v>224</v>
      </c>
      <c r="AY834" s="520"/>
      <c r="AZ834" s="520"/>
      <c r="BA834" s="520"/>
      <c r="BB834" s="520"/>
      <c r="BC834" s="520"/>
      <c r="BD834" s="520"/>
      <c r="BE834" s="520"/>
      <c r="BF834" s="520"/>
      <c r="BG834" s="520"/>
      <c r="BH834" s="520"/>
      <c r="BI834" s="520"/>
      <c r="BJ834" s="520"/>
      <c r="BK834" s="520"/>
      <c r="BL834" s="520"/>
      <c r="BM834" s="520"/>
      <c r="BN834" s="520"/>
      <c r="BO834" s="520"/>
      <c r="BP834" s="520"/>
      <c r="BQ834" s="520"/>
      <c r="BR834" s="520"/>
      <c r="BS834" s="520"/>
      <c r="BT834" s="520"/>
      <c r="BU834" s="520"/>
      <c r="BV834" s="521"/>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industrială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Tehnologia Constructiilor de Masini</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7" t="s">
        <v>100</v>
      </c>
      <c r="B9" s="588"/>
      <c r="C9" s="588"/>
      <c r="D9" s="588"/>
      <c r="E9" s="588"/>
      <c r="F9" s="588"/>
      <c r="G9" s="588"/>
      <c r="H9" s="588"/>
      <c r="I9" s="588"/>
      <c r="J9" s="588"/>
      <c r="K9" s="588"/>
      <c r="L9" s="588"/>
      <c r="M9" s="588"/>
      <c r="N9" s="588"/>
      <c r="O9" s="588"/>
      <c r="P9" s="588"/>
      <c r="Q9" s="588"/>
      <c r="R9" s="588"/>
      <c r="S9" s="588"/>
      <c r="T9" s="588"/>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65</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2" t="s">
        <v>105</v>
      </c>
      <c r="C19" s="584"/>
      <c r="D19" s="585"/>
      <c r="E19" s="586"/>
      <c r="H19" s="582" t="s">
        <v>105</v>
      </c>
      <c r="I19" s="594"/>
      <c r="J19" s="595"/>
      <c r="L19" s="334"/>
      <c r="M19" s="582" t="s">
        <v>105</v>
      </c>
      <c r="N19" s="594"/>
      <c r="O19" s="595"/>
    </row>
    <row r="20" spans="1:20" s="103" customFormat="1" ht="24" thickBot="1" x14ac:dyDescent="0.4">
      <c r="B20" s="583"/>
      <c r="C20" s="355" t="s">
        <v>111</v>
      </c>
      <c r="D20" s="360" t="s">
        <v>112</v>
      </c>
      <c r="E20" s="361" t="s">
        <v>140</v>
      </c>
      <c r="H20" s="583"/>
      <c r="I20" s="339" t="s">
        <v>111</v>
      </c>
      <c r="J20" s="340" t="s">
        <v>112</v>
      </c>
      <c r="L20" s="118"/>
      <c r="M20" s="583"/>
      <c r="N20" s="339" t="s">
        <v>111</v>
      </c>
      <c r="O20" s="340"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1" t="str">
        <f>IF(PLANURI!O457,"DA","NU")</f>
        <v>DA</v>
      </c>
      <c r="J21" s="181" t="str">
        <f>IF(PLANURI!O469,"DA","NU")</f>
        <v>DA</v>
      </c>
      <c r="L21" s="335"/>
      <c r="M21" s="117" t="s">
        <v>106</v>
      </c>
      <c r="N21" s="406">
        <f>PLANURI!P457</f>
        <v>25</v>
      </c>
      <c r="O21" s="407">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2" t="str">
        <f>IF(PLANURI!O482,"DA","NU")</f>
        <v>DA</v>
      </c>
      <c r="J22" s="182" t="str">
        <f>IF(PLANURI!O494,"DA","NU")</f>
        <v>DA</v>
      </c>
      <c r="L22" s="335"/>
      <c r="M22" s="115" t="s">
        <v>107</v>
      </c>
      <c r="N22" s="408">
        <f>PLANURI!P482</f>
        <v>25</v>
      </c>
      <c r="O22" s="409">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2" t="str">
        <f>IF(PLANURI!O507,"DA","NU")</f>
        <v>NU</v>
      </c>
      <c r="J23" s="182" t="str">
        <f>IF(PLANURI!O519,"DA","NU")</f>
        <v>NU</v>
      </c>
      <c r="L23" s="335"/>
      <c r="M23" s="115" t="s">
        <v>108</v>
      </c>
      <c r="N23" s="408">
        <f>PLANURI!P507</f>
        <v>25.833333333333332</v>
      </c>
      <c r="O23" s="409">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3" t="str">
        <f>IF(PLANURI!O532,"DA","NU")</f>
        <v>DA</v>
      </c>
      <c r="J24" s="183" t="str">
        <f>IF(PLANURI!O544,"DA","NU")</f>
        <v>NU</v>
      </c>
      <c r="L24" s="335"/>
      <c r="M24" s="116" t="s">
        <v>109</v>
      </c>
      <c r="N24" s="410">
        <f>PLANURI!P532</f>
        <v>25</v>
      </c>
      <c r="O24" s="411">
        <f>PLANURI!P544</f>
        <v>27.85</v>
      </c>
    </row>
    <row r="25" spans="1:20" s="103" customFormat="1" ht="23.25" x14ac:dyDescent="0.35">
      <c r="B25" s="118"/>
      <c r="C25" s="119"/>
      <c r="D25" s="119"/>
      <c r="E25" s="118"/>
    </row>
    <row r="26" spans="1:20" s="103" customFormat="1" ht="23.25" x14ac:dyDescent="0.35"/>
    <row r="27" spans="1:20" s="103" customFormat="1" ht="23.25" x14ac:dyDescent="0.35">
      <c r="A27" s="587" t="s">
        <v>113</v>
      </c>
      <c r="B27" s="588"/>
      <c r="C27" s="588"/>
      <c r="D27" s="588"/>
      <c r="E27" s="588"/>
      <c r="F27" s="588"/>
      <c r="G27" s="588"/>
      <c r="H27" s="588"/>
      <c r="I27" s="588"/>
      <c r="J27" s="588"/>
      <c r="K27" s="588"/>
      <c r="L27" s="588"/>
      <c r="M27" s="588"/>
      <c r="N27" s="588"/>
      <c r="O27" s="588"/>
      <c r="P27" s="588"/>
      <c r="Q27" s="588"/>
      <c r="R27" s="588"/>
      <c r="S27" s="588"/>
      <c r="T27" s="588"/>
    </row>
    <row r="28" spans="1:20" s="103" customFormat="1" ht="24" thickBot="1" x14ac:dyDescent="0.4">
      <c r="I28" s="105"/>
    </row>
    <row r="29" spans="1:20" s="103" customFormat="1" ht="23.25" x14ac:dyDescent="0.35">
      <c r="A29" s="592" t="s">
        <v>105</v>
      </c>
      <c r="B29" s="589" t="s">
        <v>110</v>
      </c>
      <c r="C29" s="590"/>
      <c r="D29" s="589" t="s">
        <v>119</v>
      </c>
      <c r="E29" s="591"/>
      <c r="F29" s="591"/>
      <c r="G29" s="591"/>
      <c r="H29" s="590"/>
      <c r="I29" s="354"/>
    </row>
    <row r="30" spans="1:20" s="103" customFormat="1" ht="45" customHeight="1" thickBot="1" x14ac:dyDescent="0.4">
      <c r="A30" s="593"/>
      <c r="B30" s="355" t="s">
        <v>111</v>
      </c>
      <c r="C30" s="356" t="s">
        <v>112</v>
      </c>
      <c r="D30" s="355" t="s">
        <v>114</v>
      </c>
      <c r="E30" s="357" t="s">
        <v>118</v>
      </c>
      <c r="F30" s="357" t="s">
        <v>115</v>
      </c>
      <c r="G30" s="357" t="s">
        <v>116</v>
      </c>
      <c r="H30" s="358" t="s">
        <v>117</v>
      </c>
      <c r="I30" s="359"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0" t="s">
        <v>263</v>
      </c>
      <c r="B36" s="581"/>
      <c r="C36" s="581"/>
      <c r="D36" s="581"/>
      <c r="E36" s="581"/>
      <c r="F36" s="581"/>
      <c r="G36" s="581"/>
      <c r="H36" s="581"/>
      <c r="I36" s="581"/>
      <c r="J36" s="581"/>
      <c r="K36" s="581"/>
      <c r="L36" s="581"/>
      <c r="M36" s="581"/>
      <c r="N36" s="581"/>
      <c r="O36" s="581"/>
      <c r="P36" s="581"/>
      <c r="Q36" s="581"/>
      <c r="R36" s="581"/>
      <c r="S36" s="581"/>
      <c r="T36" s="581"/>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7" t="s">
        <v>145</v>
      </c>
      <c r="B38" s="597"/>
      <c r="C38" s="597"/>
      <c r="D38" s="597"/>
      <c r="E38" s="597"/>
      <c r="F38" s="597"/>
      <c r="G38" s="597"/>
      <c r="H38" s="597"/>
      <c r="I38" s="597"/>
      <c r="J38" s="597"/>
      <c r="K38" s="597"/>
      <c r="L38" s="597"/>
      <c r="M38" s="597"/>
      <c r="N38" s="597"/>
      <c r="O38" s="597"/>
      <c r="P38" s="597"/>
      <c r="Q38" s="597"/>
      <c r="R38" s="597"/>
      <c r="S38" s="597"/>
      <c r="T38" s="597"/>
    </row>
    <row r="39" spans="1:20" s="103" customFormat="1" ht="23.25" x14ac:dyDescent="0.35">
      <c r="H39" s="186" t="s">
        <v>184</v>
      </c>
    </row>
    <row r="40" spans="1:20" s="103" customFormat="1" ht="23.25" x14ac:dyDescent="0.35">
      <c r="A40" s="103" t="s">
        <v>148</v>
      </c>
      <c r="G40" s="173">
        <f>PLANURI!BA388+PLANURI!BB388+PLANURI!BC388</f>
        <v>62</v>
      </c>
      <c r="H40" s="184">
        <v>1</v>
      </c>
      <c r="I40" s="113"/>
    </row>
    <row r="41" spans="1:20" s="103" customFormat="1" ht="23.25" x14ac:dyDescent="0.35">
      <c r="A41" s="103" t="s">
        <v>267</v>
      </c>
      <c r="G41" s="173">
        <f>PLANURI!BA388</f>
        <v>33</v>
      </c>
      <c r="H41" s="185">
        <f>G41/G40</f>
        <v>0.532258064516129</v>
      </c>
      <c r="I41" s="113"/>
      <c r="K41" s="103" t="s">
        <v>149</v>
      </c>
      <c r="P41" s="125"/>
    </row>
    <row r="42" spans="1:20" s="103" customFormat="1" ht="23.25" x14ac:dyDescent="0.35">
      <c r="A42" s="103" t="s">
        <v>268</v>
      </c>
      <c r="G42" s="173">
        <f>PLANURI!BB388</f>
        <v>22</v>
      </c>
      <c r="H42" s="185">
        <f>G42/G40</f>
        <v>0.35483870967741937</v>
      </c>
      <c r="I42" s="114"/>
    </row>
    <row r="43" spans="1:20" s="103" customFormat="1" ht="20.25" customHeight="1" x14ac:dyDescent="0.35">
      <c r="A43" s="120" t="s">
        <v>269</v>
      </c>
      <c r="B43" s="112"/>
      <c r="C43" s="112"/>
      <c r="D43" s="112"/>
      <c r="E43" s="112"/>
      <c r="F43" s="112"/>
      <c r="G43" s="173">
        <f>PLANURI!BC388</f>
        <v>7</v>
      </c>
      <c r="H43" s="185">
        <f>G43/G40</f>
        <v>0.11290322580645161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7" t="s">
        <v>144</v>
      </c>
      <c r="B46" s="597"/>
      <c r="C46" s="597"/>
      <c r="D46" s="597"/>
      <c r="E46" s="597"/>
      <c r="F46" s="597"/>
      <c r="G46" s="597"/>
      <c r="H46" s="597"/>
      <c r="I46" s="597"/>
      <c r="J46" s="597"/>
      <c r="K46" s="597"/>
      <c r="L46" s="597"/>
      <c r="M46" s="597"/>
      <c r="N46" s="597"/>
      <c r="O46" s="597"/>
      <c r="P46" s="597"/>
      <c r="Q46" s="597"/>
      <c r="R46" s="597"/>
      <c r="S46" s="597"/>
      <c r="T46" s="597"/>
    </row>
    <row r="47" spans="1:20" s="103" customFormat="1" ht="23.25" x14ac:dyDescent="0.35"/>
    <row r="48" spans="1:20" s="103" customFormat="1" ht="23.25" x14ac:dyDescent="0.35">
      <c r="A48" s="103" t="s">
        <v>124</v>
      </c>
      <c r="G48" s="229">
        <f>PLANURI!BV388+240</f>
        <v>1829</v>
      </c>
      <c r="H48" s="103" t="s">
        <v>121</v>
      </c>
      <c r="I48" s="231">
        <v>1</v>
      </c>
      <c r="K48" s="103" t="s">
        <v>152</v>
      </c>
      <c r="P48" s="121"/>
    </row>
    <row r="49" spans="1:20" s="103" customFormat="1" ht="23.25" x14ac:dyDescent="0.35">
      <c r="A49" s="103" t="s">
        <v>125</v>
      </c>
      <c r="G49" s="229">
        <f>PLANURI!BX388+240</f>
        <v>1423</v>
      </c>
      <c r="H49" s="103" t="s">
        <v>121</v>
      </c>
      <c r="I49" s="232">
        <f>G49/G48</f>
        <v>0.77802077638053579</v>
      </c>
      <c r="K49" s="103" t="s">
        <v>134</v>
      </c>
      <c r="P49" s="122"/>
    </row>
    <row r="50" spans="1:20" ht="23.25" x14ac:dyDescent="0.35">
      <c r="A50" s="103" t="s">
        <v>122</v>
      </c>
      <c r="G50" s="229">
        <f>PLANURI!BY388</f>
        <v>406</v>
      </c>
      <c r="H50" s="103" t="s">
        <v>121</v>
      </c>
      <c r="I50" s="232">
        <f>G50/G48</f>
        <v>0.22197922361946418</v>
      </c>
      <c r="K50" s="103" t="s">
        <v>135</v>
      </c>
      <c r="P50" s="122"/>
    </row>
    <row r="51" spans="1:20" ht="23.25" x14ac:dyDescent="0.35">
      <c r="A51" s="103" t="s">
        <v>130</v>
      </c>
      <c r="G51" s="229">
        <f>PLANURI!CB388</f>
        <v>280</v>
      </c>
      <c r="H51" s="103" t="s">
        <v>121</v>
      </c>
      <c r="I51" s="232">
        <f>G51/G48</f>
        <v>0.15308911973756151</v>
      </c>
      <c r="K51" s="103" t="s">
        <v>126</v>
      </c>
      <c r="P51" s="122"/>
    </row>
    <row r="52" spans="1:20" ht="23.25" x14ac:dyDescent="0.35">
      <c r="A52" s="103" t="s">
        <v>131</v>
      </c>
      <c r="G52" s="229">
        <f>PLANURI!CC388+90</f>
        <v>685</v>
      </c>
      <c r="H52" s="103" t="s">
        <v>121</v>
      </c>
      <c r="I52" s="232">
        <f>G52/G48</f>
        <v>0.37452159650082012</v>
      </c>
      <c r="K52" s="103" t="s">
        <v>127</v>
      </c>
      <c r="P52" s="122"/>
    </row>
    <row r="53" spans="1:20" ht="23.25" x14ac:dyDescent="0.35">
      <c r="A53" s="103" t="s">
        <v>132</v>
      </c>
      <c r="G53" s="229">
        <f>PLANURI!CD388+150</f>
        <v>668</v>
      </c>
      <c r="H53" s="103" t="s">
        <v>121</v>
      </c>
      <c r="I53" s="232">
        <f>G53/G48</f>
        <v>0.36522689994532531</v>
      </c>
      <c r="K53" s="103" t="s">
        <v>128</v>
      </c>
      <c r="P53" s="122"/>
    </row>
    <row r="54" spans="1:20" ht="23.25" x14ac:dyDescent="0.35">
      <c r="A54" s="103" t="s">
        <v>133</v>
      </c>
      <c r="G54" s="229">
        <f>PLANURI!CE388</f>
        <v>196</v>
      </c>
      <c r="H54" s="103" t="s">
        <v>121</v>
      </c>
      <c r="I54" s="232">
        <f>G54/G48</f>
        <v>0.10716238381629306</v>
      </c>
      <c r="K54" s="103" t="s">
        <v>129</v>
      </c>
      <c r="P54" s="122"/>
    </row>
    <row r="55" spans="1:20" ht="23.25" x14ac:dyDescent="0.35">
      <c r="A55" s="103"/>
      <c r="G55" s="229"/>
      <c r="H55" s="103"/>
      <c r="I55" s="233"/>
      <c r="K55" s="103"/>
      <c r="P55" s="122"/>
    </row>
    <row r="56" spans="1:20" s="103" customFormat="1" ht="23.25" x14ac:dyDescent="0.35">
      <c r="A56" s="103" t="s">
        <v>123</v>
      </c>
      <c r="G56" s="229">
        <f>PLANURI!BZ388</f>
        <v>350</v>
      </c>
      <c r="H56" s="103" t="s">
        <v>121</v>
      </c>
      <c r="I56" s="232">
        <f>G56/G48</f>
        <v>0.1913613996719519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v>
      </c>
      <c r="I58" s="234"/>
      <c r="K58" s="103" t="s">
        <v>137</v>
      </c>
    </row>
    <row r="59" spans="1:20" s="103" customFormat="1" ht="23.25" x14ac:dyDescent="0.35">
      <c r="G59" s="104"/>
    </row>
    <row r="60" spans="1:20" s="103" customFormat="1" ht="23.25" x14ac:dyDescent="0.35"/>
    <row r="61" spans="1:20" s="103" customFormat="1" ht="23.25" x14ac:dyDescent="0.35">
      <c r="A61" s="587" t="s">
        <v>146</v>
      </c>
      <c r="B61" s="588"/>
      <c r="C61" s="588"/>
      <c r="D61" s="588"/>
      <c r="E61" s="588"/>
      <c r="F61" s="588"/>
      <c r="G61" s="588"/>
      <c r="H61" s="588"/>
      <c r="I61" s="588"/>
      <c r="J61" s="588"/>
      <c r="K61" s="588"/>
      <c r="L61" s="588"/>
      <c r="M61" s="588"/>
      <c r="N61" s="588"/>
      <c r="O61" s="588"/>
      <c r="P61" s="588"/>
      <c r="Q61" s="588"/>
      <c r="R61" s="588"/>
      <c r="S61" s="588"/>
      <c r="T61" s="588"/>
    </row>
    <row r="62" spans="1:20" s="103" customFormat="1" ht="24" thickBot="1" x14ac:dyDescent="0.4"/>
    <row r="63" spans="1:20" ht="23.25" x14ac:dyDescent="0.35">
      <c r="A63" s="592" t="s">
        <v>105</v>
      </c>
      <c r="B63" s="598" t="s">
        <v>138</v>
      </c>
      <c r="C63" s="599"/>
    </row>
    <row r="64" spans="1:20" ht="24" thickBot="1" x14ac:dyDescent="0.25">
      <c r="A64" s="593"/>
      <c r="B64" s="110" t="s">
        <v>111</v>
      </c>
      <c r="C64" s="111" t="s">
        <v>112</v>
      </c>
    </row>
    <row r="65" spans="1:20" ht="23.25" x14ac:dyDescent="0.35">
      <c r="A65" s="109" t="s">
        <v>106</v>
      </c>
      <c r="B65" s="235">
        <f>PLANURI!BV380/14</f>
        <v>15</v>
      </c>
      <c r="C65" s="236">
        <f>PLANURI!BV381/14</f>
        <v>14.5</v>
      </c>
      <c r="K65" s="103" t="s">
        <v>155</v>
      </c>
    </row>
    <row r="66" spans="1:20" ht="23.25" x14ac:dyDescent="0.35">
      <c r="A66" s="107" t="s">
        <v>107</v>
      </c>
      <c r="B66" s="237">
        <f>PLANURI!BV382/14</f>
        <v>14</v>
      </c>
      <c r="C66" s="238">
        <f>PLANURI!BV383/14</f>
        <v>13</v>
      </c>
      <c r="K66" s="103" t="s">
        <v>155</v>
      </c>
    </row>
    <row r="67" spans="1:20" ht="23.25" x14ac:dyDescent="0.35">
      <c r="A67" s="107" t="s">
        <v>108</v>
      </c>
      <c r="B67" s="237">
        <f>PLANURI!BV384/14</f>
        <v>12</v>
      </c>
      <c r="C67" s="238">
        <f>PLANURI!BV385/14</f>
        <v>13</v>
      </c>
      <c r="K67" s="103" t="s">
        <v>155</v>
      </c>
    </row>
    <row r="68" spans="1:20" ht="24" thickBot="1" x14ac:dyDescent="0.4">
      <c r="A68" s="108" t="s">
        <v>109</v>
      </c>
      <c r="B68" s="239">
        <f>PLANURI!BV386/14</f>
        <v>13</v>
      </c>
      <c r="C68" s="240">
        <f>PLANURI!BV387/14</f>
        <v>19</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7" t="s">
        <v>147</v>
      </c>
      <c r="B73" s="588"/>
      <c r="C73" s="588"/>
      <c r="D73" s="588"/>
      <c r="E73" s="588"/>
      <c r="F73" s="588"/>
      <c r="G73" s="588"/>
      <c r="H73" s="588"/>
      <c r="I73" s="588"/>
      <c r="J73" s="588"/>
      <c r="K73" s="588"/>
      <c r="L73" s="588"/>
      <c r="M73" s="588"/>
      <c r="N73" s="588"/>
      <c r="O73" s="588"/>
      <c r="P73" s="588"/>
      <c r="Q73" s="588"/>
      <c r="R73" s="588"/>
      <c r="S73" s="588"/>
      <c r="T73" s="588"/>
    </row>
    <row r="74" spans="1:20" s="103" customFormat="1" ht="23.25" x14ac:dyDescent="0.35"/>
    <row r="75" spans="1:20" ht="23.25" x14ac:dyDescent="0.35">
      <c r="A75" s="596" t="s">
        <v>141</v>
      </c>
      <c r="B75" s="596"/>
      <c r="C75" s="596"/>
      <c r="D75" s="596"/>
      <c r="E75" s="596"/>
      <c r="F75" s="596"/>
      <c r="G75" s="596"/>
      <c r="H75" s="596"/>
      <c r="I75" s="596"/>
      <c r="J75" s="596"/>
      <c r="K75" s="596"/>
      <c r="L75" s="596"/>
      <c r="M75" s="596"/>
    </row>
    <row r="76" spans="1:20" ht="23.25" x14ac:dyDescent="0.35">
      <c r="A76" s="596" t="s">
        <v>142</v>
      </c>
      <c r="B76" s="596"/>
      <c r="C76" s="596"/>
      <c r="D76" s="596"/>
      <c r="E76" s="596"/>
      <c r="F76" s="596"/>
      <c r="G76" s="596"/>
      <c r="H76" s="596"/>
      <c r="I76" s="596"/>
      <c r="J76" s="596"/>
      <c r="K76" s="596"/>
      <c r="L76" s="596"/>
      <c r="M76" s="596"/>
    </row>
    <row r="77" spans="1:20" ht="23.25" x14ac:dyDescent="0.35">
      <c r="A77" s="596" t="s">
        <v>179</v>
      </c>
      <c r="B77" s="596"/>
      <c r="C77" s="596"/>
      <c r="D77" s="596"/>
      <c r="E77" s="596"/>
      <c r="F77" s="596"/>
      <c r="G77" s="596"/>
      <c r="H77" s="596"/>
      <c r="I77" s="596"/>
      <c r="J77" s="596"/>
      <c r="K77" s="596"/>
      <c r="L77" s="596"/>
      <c r="M77" s="596"/>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305</v>
      </c>
      <c r="B1" s="425" t="s">
        <v>52</v>
      </c>
      <c r="C1" s="425">
        <v>20210908</v>
      </c>
      <c r="E1" s="425">
        <v>2021</v>
      </c>
      <c r="F1" s="425">
        <v>9</v>
      </c>
      <c r="G1" s="425">
        <v>8</v>
      </c>
      <c r="H1" s="426" t="s">
        <v>306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L420.19.01.F1</v>
      </c>
      <c r="B3">
        <f>PLANURI!AY445</f>
        <v>1</v>
      </c>
      <c r="C3" t="str">
        <f>PLANURI!AZ445</f>
        <v>Analiza matematica</v>
      </c>
      <c r="D3">
        <f>PLANURI!BA445</f>
        <v>1</v>
      </c>
      <c r="E3" t="str">
        <f>PLANURI!BB445</f>
        <v>1</v>
      </c>
      <c r="F3" t="str">
        <f>PLANURI!BC445</f>
        <v>E</v>
      </c>
      <c r="G3" t="str">
        <f>PLANURI!BD445</f>
        <v>DI</v>
      </c>
      <c r="H3">
        <f>PLANURI!BE445</f>
        <v>0</v>
      </c>
      <c r="I3">
        <f>PLANURI!BF445</f>
        <v>2</v>
      </c>
      <c r="J3">
        <f>PLANURI!BG445</f>
        <v>2</v>
      </c>
      <c r="K3">
        <f>PLANURI!BH445</f>
        <v>0</v>
      </c>
      <c r="L3">
        <f>PLANURI!BI445</f>
        <v>28</v>
      </c>
      <c r="M3">
        <f>PLANURI!BJ445</f>
        <v>28</v>
      </c>
      <c r="N3">
        <f>PLANURI!BK445</f>
        <v>0</v>
      </c>
      <c r="O3">
        <f>PLANURI!BL445</f>
        <v>0</v>
      </c>
      <c r="P3">
        <f>PLANURI!BM445</f>
        <v>0</v>
      </c>
      <c r="Q3">
        <f>PLANURI!BN445</f>
        <v>0</v>
      </c>
      <c r="R3" t="str">
        <f>PLANURI!BO445</f>
        <v>0</v>
      </c>
      <c r="S3">
        <f>PLANURI!BP445</f>
        <v>0</v>
      </c>
      <c r="T3">
        <f>PLANURI!BQ445</f>
        <v>5.0999999999999996</v>
      </c>
      <c r="U3">
        <f>PLANURI!BR445</f>
        <v>72</v>
      </c>
      <c r="V3">
        <f>PLANURI!BS445</f>
        <v>4</v>
      </c>
      <c r="W3" t="str">
        <f>PLANURI!BT445</f>
        <v>DF</v>
      </c>
      <c r="X3">
        <f>PLANURI!BU445</f>
        <v>7.1</v>
      </c>
      <c r="Y3">
        <f>PLANURI!BV445</f>
        <v>100</v>
      </c>
      <c r="Z3" t="str">
        <f>PLANURI!A$4</f>
        <v>Facultatea de Mecanică</v>
      </c>
      <c r="AA3" t="str">
        <f>PLANURI!H$6</f>
        <v xml:space="preserve"> Ştiinţe inginereşti</v>
      </c>
      <c r="AB3">
        <f>PLANURI!C$12</f>
        <v>130</v>
      </c>
      <c r="AC3" t="str">
        <f>PLANURI!H$9</f>
        <v>Tehnologia Constructiilor de Masini</v>
      </c>
      <c r="AD3">
        <f>PLANURI!A$12</f>
        <v>20</v>
      </c>
      <c r="AE3">
        <f>PLANURI!B$12</f>
        <v>70</v>
      </c>
      <c r="AF3">
        <f>PLANURI!D$12</f>
        <v>10</v>
      </c>
      <c r="AG3" t="str">
        <f>PLANURI!BW445</f>
        <v>2019</v>
      </c>
    </row>
    <row r="4" spans="1:33" x14ac:dyDescent="0.2">
      <c r="A4" t="str">
        <f>PLANURI!AX446</f>
        <v>L420.19.01.F2</v>
      </c>
      <c r="B4">
        <f>PLANURI!AY446</f>
        <v>2</v>
      </c>
      <c r="C4" t="str">
        <f>PLANURI!AZ446</f>
        <v>Algebră şi geometrie</v>
      </c>
      <c r="D4">
        <f>PLANURI!BA446</f>
        <v>1</v>
      </c>
      <c r="E4" t="str">
        <f>PLANURI!BB446</f>
        <v>1</v>
      </c>
      <c r="F4" t="str">
        <f>PLANURI!BC446</f>
        <v>E</v>
      </c>
      <c r="G4" t="str">
        <f>PLANURI!BD446</f>
        <v>DI</v>
      </c>
      <c r="H4">
        <f>PLANURI!WL446</f>
        <v>0</v>
      </c>
      <c r="I4">
        <f>PLANURI!BF446</f>
        <v>2</v>
      </c>
      <c r="J4">
        <f>PLANURI!BG446</f>
        <v>2</v>
      </c>
      <c r="K4">
        <f>PLANURI!BH446</f>
        <v>0</v>
      </c>
      <c r="L4">
        <f>PLANURI!BI446</f>
        <v>28</v>
      </c>
      <c r="M4">
        <f>PLANURI!BJ446</f>
        <v>28</v>
      </c>
      <c r="N4">
        <f>PLANURI!BK446</f>
        <v>0</v>
      </c>
      <c r="O4">
        <f>PLANURI!BL446</f>
        <v>0</v>
      </c>
      <c r="P4">
        <f>PLANURI!BM446</f>
        <v>0</v>
      </c>
      <c r="Q4">
        <f>PLANURI!BN446</f>
        <v>0</v>
      </c>
      <c r="R4" t="str">
        <f>PLANURI!BO446</f>
        <v>0</v>
      </c>
      <c r="S4">
        <f>PLANURI!BP446</f>
        <v>0</v>
      </c>
      <c r="T4">
        <f>PLANURI!BQ446</f>
        <v>5.0999999999999996</v>
      </c>
      <c r="U4">
        <f>PLANURI!BR446</f>
        <v>72</v>
      </c>
      <c r="V4">
        <f>PLANURI!BS446</f>
        <v>4</v>
      </c>
      <c r="W4" t="str">
        <f>PLANURI!BT446</f>
        <v>DF</v>
      </c>
      <c r="X4">
        <f>PLANURI!BU446</f>
        <v>7.1</v>
      </c>
      <c r="Y4">
        <f>PLANURI!BV446</f>
        <v>100</v>
      </c>
      <c r="Z4" t="str">
        <f>PLANURI!A$4</f>
        <v>Facultatea de Mecanică</v>
      </c>
      <c r="AA4" t="str">
        <f>PLANURI!H$6</f>
        <v xml:space="preserve"> Ştiinţe inginereşti</v>
      </c>
      <c r="AB4">
        <f>PLANURI!C$12</f>
        <v>130</v>
      </c>
      <c r="AC4" t="str">
        <f>PLANURI!H$9</f>
        <v>Tehnologia Constructiilor de Masini</v>
      </c>
      <c r="AD4">
        <f>PLANURI!A$12</f>
        <v>20</v>
      </c>
      <c r="AE4">
        <f>PLANURI!B$12</f>
        <v>70</v>
      </c>
      <c r="AF4">
        <f>PLANURI!D$12</f>
        <v>10</v>
      </c>
      <c r="AG4" t="str">
        <f>PLANURI!BW446</f>
        <v>2019</v>
      </c>
    </row>
    <row r="5" spans="1:33" x14ac:dyDescent="0.2">
      <c r="A5" t="str">
        <f>PLANURI!AX447</f>
        <v>L420.19.01.F3</v>
      </c>
      <c r="B5">
        <f>PLANURI!AY447</f>
        <v>3</v>
      </c>
      <c r="C5" t="str">
        <f>PLANURI!AZ447</f>
        <v>Fizica</v>
      </c>
      <c r="D5">
        <f>PLANURI!BA447</f>
        <v>1</v>
      </c>
      <c r="E5" t="str">
        <f>PLANURI!BB447</f>
        <v>1</v>
      </c>
      <c r="F5" t="str">
        <f>PLANURI!BC447</f>
        <v>E</v>
      </c>
      <c r="G5" t="str">
        <f>PLANURI!BD447</f>
        <v>DI</v>
      </c>
      <c r="H5">
        <f>PLANURI!BE447</f>
        <v>0</v>
      </c>
      <c r="I5">
        <f>PLANURI!BF447</f>
        <v>2</v>
      </c>
      <c r="J5">
        <f>PLANURI!BG447</f>
        <v>2</v>
      </c>
      <c r="K5">
        <f>PLANURI!BH447</f>
        <v>0</v>
      </c>
      <c r="L5">
        <f>PLANURI!BI447</f>
        <v>28</v>
      </c>
      <c r="M5">
        <f>PLANURI!BJ447</f>
        <v>28</v>
      </c>
      <c r="N5">
        <f>PLANURI!BK447</f>
        <v>0</v>
      </c>
      <c r="O5">
        <f>PLANURI!BL447</f>
        <v>0</v>
      </c>
      <c r="P5">
        <f>PLANURI!BM447</f>
        <v>0</v>
      </c>
      <c r="Q5">
        <f>PLANURI!BN447</f>
        <v>0</v>
      </c>
      <c r="R5" t="str">
        <f>PLANURI!BO447</f>
        <v>0</v>
      </c>
      <c r="S5">
        <f>PLANURI!BP447</f>
        <v>0</v>
      </c>
      <c r="T5">
        <f>PLANURI!BQ447</f>
        <v>6.9</v>
      </c>
      <c r="U5">
        <f>PLANURI!BR447</f>
        <v>97</v>
      </c>
      <c r="V5">
        <f>PLANURI!BS447</f>
        <v>5</v>
      </c>
      <c r="W5" t="str">
        <f>PLANURI!BT447</f>
        <v>DF</v>
      </c>
      <c r="X5">
        <f>PLANURI!BU447</f>
        <v>8.9</v>
      </c>
      <c r="Y5">
        <f>PLANURI!BV447</f>
        <v>125</v>
      </c>
      <c r="Z5" t="str">
        <f>PLANURI!A$4</f>
        <v>Facultatea de Mecanică</v>
      </c>
      <c r="AA5" t="str">
        <f>PLANURI!H$6</f>
        <v xml:space="preserve"> Ştiinţe inginereşti</v>
      </c>
      <c r="AB5">
        <f>PLANURI!C$12</f>
        <v>130</v>
      </c>
      <c r="AC5" t="str">
        <f>PLANURI!H$9</f>
        <v>Tehnologia Constructiilor de Masini</v>
      </c>
      <c r="AD5">
        <f>PLANURI!A$12</f>
        <v>20</v>
      </c>
      <c r="AE5">
        <f>PLANURI!B$12</f>
        <v>70</v>
      </c>
      <c r="AF5">
        <f>PLANURI!D$12</f>
        <v>10</v>
      </c>
      <c r="AG5" t="str">
        <f>PLANURI!BW447</f>
        <v>2019</v>
      </c>
    </row>
    <row r="6" spans="1:33" x14ac:dyDescent="0.2">
      <c r="A6" t="str">
        <f>PLANURI!AX448</f>
        <v>L420.19.01.D4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2.5</v>
      </c>
      <c r="K6">
        <f>PLANURI!BH448</f>
        <v>0</v>
      </c>
      <c r="L6">
        <f>PLANURI!BI448</f>
        <v>35</v>
      </c>
      <c r="M6">
        <f>PLANURI!BJ448</f>
        <v>35</v>
      </c>
      <c r="N6">
        <f>PLANURI!BK448</f>
        <v>0</v>
      </c>
      <c r="O6">
        <f>PLANURI!BL448</f>
        <v>0</v>
      </c>
      <c r="P6">
        <f>PLANURI!BM448</f>
        <v>0</v>
      </c>
      <c r="Q6">
        <f>PLANURI!BN448</f>
        <v>0</v>
      </c>
      <c r="R6" t="str">
        <f>PLANURI!BO448</f>
        <v>0</v>
      </c>
      <c r="S6">
        <f>PLANURI!BP448</f>
        <v>0</v>
      </c>
      <c r="T6">
        <f>PLANURI!BQ448</f>
        <v>6.4</v>
      </c>
      <c r="U6">
        <f>PLANURI!BR448</f>
        <v>90</v>
      </c>
      <c r="V6">
        <f>PLANURI!BS448</f>
        <v>5</v>
      </c>
      <c r="W6" t="str">
        <f>PLANURI!BT448</f>
        <v>DD</v>
      </c>
      <c r="X6">
        <f>PLANURI!BU448</f>
        <v>8.9</v>
      </c>
      <c r="Y6">
        <f>PLANURI!BV448</f>
        <v>125</v>
      </c>
      <c r="Z6" t="str">
        <f>PLANURI!A$4</f>
        <v>Facultatea de Mecanică</v>
      </c>
      <c r="AA6" t="str">
        <f>PLANURI!H$6</f>
        <v xml:space="preserve"> Ştiinţe inginereşti</v>
      </c>
      <c r="AB6">
        <f>PLANURI!C$12</f>
        <v>130</v>
      </c>
      <c r="AC6" t="str">
        <f>PLANURI!H$9</f>
        <v>Tehnologia Constructiilor de Masini</v>
      </c>
      <c r="AD6">
        <f>PLANURI!A$12</f>
        <v>20</v>
      </c>
      <c r="AE6">
        <f>PLANURI!B$12</f>
        <v>70</v>
      </c>
      <c r="AF6">
        <f>PLANURI!D$12</f>
        <v>10</v>
      </c>
      <c r="AG6" t="str">
        <f>PLANURI!BW448</f>
        <v>2019</v>
      </c>
    </row>
    <row r="7" spans="1:33" x14ac:dyDescent="0.2">
      <c r="A7" t="str">
        <f>PLANURI!AX449</f>
        <v>L420.19.01.F5</v>
      </c>
      <c r="B7">
        <f>PLANURI!AY449</f>
        <v>5</v>
      </c>
      <c r="C7" t="str">
        <f>PLANURI!AZ449</f>
        <v>Geometrie descriptivă și desen tehnic</v>
      </c>
      <c r="D7">
        <f>PLANURI!BA449</f>
        <v>1</v>
      </c>
      <c r="E7" t="str">
        <f>PLANURI!BB449</f>
        <v>1</v>
      </c>
      <c r="F7" t="str">
        <f>PLANURI!BC449</f>
        <v>D</v>
      </c>
      <c r="G7" t="str">
        <f>PLANURI!BD449</f>
        <v>DI</v>
      </c>
      <c r="H7">
        <f>PLANURI!BE449</f>
        <v>0</v>
      </c>
      <c r="I7">
        <f>PLANURI!BF449</f>
        <v>2.5</v>
      </c>
      <c r="J7">
        <f>PLANURI!BG449</f>
        <v>2.5</v>
      </c>
      <c r="K7">
        <f>PLANURI!BH449</f>
        <v>0</v>
      </c>
      <c r="L7">
        <f>PLANURI!BI449</f>
        <v>35</v>
      </c>
      <c r="M7">
        <f>PLANURI!BJ449</f>
        <v>35</v>
      </c>
      <c r="N7">
        <f>PLANURI!BK449</f>
        <v>0</v>
      </c>
      <c r="O7">
        <f>PLANURI!BL449</f>
        <v>0</v>
      </c>
      <c r="P7">
        <f>PLANURI!BM449</f>
        <v>0</v>
      </c>
      <c r="Q7">
        <f>PLANURI!BN449</f>
        <v>0</v>
      </c>
      <c r="R7" t="str">
        <f>PLANURI!BO449</f>
        <v>0</v>
      </c>
      <c r="S7">
        <f>PLANURI!BP449</f>
        <v>0</v>
      </c>
      <c r="T7">
        <f>PLANURI!BQ449</f>
        <v>6.4</v>
      </c>
      <c r="U7">
        <f>PLANURI!BR449</f>
        <v>90</v>
      </c>
      <c r="V7">
        <f>PLANURI!BS449</f>
        <v>5</v>
      </c>
      <c r="W7" t="str">
        <f>PLANURI!BT449</f>
        <v>DF</v>
      </c>
      <c r="X7">
        <f>PLANURI!BU449</f>
        <v>8.9</v>
      </c>
      <c r="Y7">
        <f>PLANURI!BV449</f>
        <v>125</v>
      </c>
      <c r="Z7" t="str">
        <f>PLANURI!A$4</f>
        <v>Facultatea de Mecanică</v>
      </c>
      <c r="AA7" t="str">
        <f>PLANURI!H$6</f>
        <v xml:space="preserve"> Ştiinţe inginereşti</v>
      </c>
      <c r="AB7">
        <f>PLANURI!C$12</f>
        <v>130</v>
      </c>
      <c r="AC7" t="str">
        <f>PLANURI!H$9</f>
        <v>Tehnologia Constructiilor de Masini</v>
      </c>
      <c r="AD7">
        <f>PLANURI!A$12</f>
        <v>20</v>
      </c>
      <c r="AE7">
        <f>PLANURI!B$12</f>
        <v>70</v>
      </c>
      <c r="AF7">
        <f>PLANURI!D$12</f>
        <v>10</v>
      </c>
      <c r="AG7" t="str">
        <f>PLANURI!BW449</f>
        <v>2019</v>
      </c>
    </row>
    <row r="8" spans="1:33" x14ac:dyDescent="0.2">
      <c r="A8" t="str">
        <f>PLANURI!AX450</f>
        <v>L420.19.01.F6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1</v>
      </c>
      <c r="K8">
        <f>PLANURI!BH450</f>
        <v>0</v>
      </c>
      <c r="L8">
        <f>PLANURI!BI450</f>
        <v>14</v>
      </c>
      <c r="M8">
        <f>PLANURI!BJ450</f>
        <v>14</v>
      </c>
      <c r="N8">
        <f>PLANURI!BK450</f>
        <v>0</v>
      </c>
      <c r="O8">
        <f>PLANURI!BL450</f>
        <v>0</v>
      </c>
      <c r="P8">
        <f>PLANURI!BM450</f>
        <v>0</v>
      </c>
      <c r="Q8">
        <f>PLANURI!BN450</f>
        <v>0</v>
      </c>
      <c r="R8" t="str">
        <f>PLANURI!BO450</f>
        <v>0</v>
      </c>
      <c r="S8">
        <f>PLANURI!BP450</f>
        <v>0</v>
      </c>
      <c r="T8">
        <f>PLANURI!BQ450</f>
        <v>4.4000000000000004</v>
      </c>
      <c r="U8">
        <f>PLANURI!BR450</f>
        <v>61</v>
      </c>
      <c r="V8">
        <f>PLANURI!BS450</f>
        <v>3</v>
      </c>
      <c r="W8" t="str">
        <f>PLANURI!BT450</f>
        <v>DF</v>
      </c>
      <c r="X8">
        <f>PLANURI!BU450</f>
        <v>5.4</v>
      </c>
      <c r="Y8">
        <f>PLANURI!BV450</f>
        <v>75</v>
      </c>
      <c r="Z8" t="str">
        <f>PLANURI!A$4</f>
        <v>Facultatea de Mecanică</v>
      </c>
      <c r="AA8" t="str">
        <f>PLANURI!H$6</f>
        <v xml:space="preserve"> Ştiinţe inginereşti</v>
      </c>
      <c r="AB8">
        <f>PLANURI!C$12</f>
        <v>130</v>
      </c>
      <c r="AC8" t="str">
        <f>PLANURI!H$9</f>
        <v>Tehnologia Constructiilor de Masini</v>
      </c>
      <c r="AD8">
        <f>PLANURI!A$12</f>
        <v>20</v>
      </c>
      <c r="AE8">
        <f>PLANURI!B$12</f>
        <v>70</v>
      </c>
      <c r="AF8">
        <f>PLANURI!D$12</f>
        <v>10</v>
      </c>
      <c r="AG8" t="str">
        <f>PLANURI!BW450</f>
        <v>2019</v>
      </c>
    </row>
    <row r="9" spans="1:33" x14ac:dyDescent="0.2">
      <c r="A9" t="str">
        <f>PLANURI!AX451</f>
        <v>L420.19.01.C7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130</v>
      </c>
      <c r="AC9" t="str">
        <f>PLANURI!H$9</f>
        <v>Tehnologia Constructiilor de Masini</v>
      </c>
      <c r="AD9">
        <f>PLANURI!A$12</f>
        <v>20</v>
      </c>
      <c r="AE9">
        <f>PLANURI!B$12</f>
        <v>70</v>
      </c>
      <c r="AF9">
        <f>PLANURI!D$12</f>
        <v>10</v>
      </c>
      <c r="AG9" t="str">
        <f>PLANURI!BW451</f>
        <v>2019</v>
      </c>
    </row>
    <row r="10" spans="1:33" x14ac:dyDescent="0.2">
      <c r="A10" t="str">
        <f>PLANURI!AX452</f>
        <v>L420.19.01.C8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130</v>
      </c>
      <c r="AC10" t="str">
        <f>PLANURI!H$9</f>
        <v>Tehnologia Constructiilor de Masini</v>
      </c>
      <c r="AD10">
        <f>PLANURI!A$12</f>
        <v>20</v>
      </c>
      <c r="AE10">
        <f>PLANURI!B$12</f>
        <v>70</v>
      </c>
      <c r="AF10">
        <f>PLANURI!D$12</f>
        <v>10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130</v>
      </c>
      <c r="AC11" t="str">
        <f>PLANURI!H$9</f>
        <v>Tehnologia Constructiilor de Masini</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130</v>
      </c>
      <c r="AC12" t="str">
        <f>PLANURI!H$9</f>
        <v>Tehnologia Constructiilor de Masini</v>
      </c>
      <c r="AD12">
        <f>PLANURI!A$12</f>
        <v>20</v>
      </c>
      <c r="AE12">
        <f>PLANURI!B$12</f>
        <v>70</v>
      </c>
      <c r="AF12">
        <f>PLANURI!D$12</f>
        <v>10</v>
      </c>
      <c r="AG12" t="str">
        <f>PLANURI!BW454</f>
        <v/>
      </c>
    </row>
    <row r="13" spans="1:33" x14ac:dyDescent="0.2">
      <c r="A13" t="str">
        <f>PLANURI!AX455</f>
        <v>L420.19.01.11-ij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130</v>
      </c>
      <c r="AC13" t="str">
        <f>PLANURI!H$9</f>
        <v>Tehnologia Constructiilor de Masini</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130</v>
      </c>
      <c r="AC14" t="str">
        <f>PLANURI!H$9</f>
        <v>Tehnologia Constructiilor de Masini</v>
      </c>
      <c r="AD14">
        <f>PLANURI!A$12</f>
        <v>20</v>
      </c>
      <c r="AE14">
        <f>PLANURI!B$12</f>
        <v>70</v>
      </c>
      <c r="AF14">
        <f>PLANURI!D$12</f>
        <v>10</v>
      </c>
      <c r="AG14" t="str">
        <f>PLANURI!BW456</f>
        <v/>
      </c>
    </row>
    <row r="15" spans="1:33" x14ac:dyDescent="0.2">
      <c r="A15" t="str">
        <f>PLANURI!AX457</f>
        <v>L420.19.02.F1</v>
      </c>
      <c r="B15">
        <f>PLANURI!AY457</f>
        <v>1</v>
      </c>
      <c r="C15" t="str">
        <f>PLANURI!AZ457</f>
        <v>Matematici speciale</v>
      </c>
      <c r="D15">
        <f>PLANURI!BA457</f>
        <v>1</v>
      </c>
      <c r="E15" t="str">
        <f>PLANURI!BB457</f>
        <v>2</v>
      </c>
      <c r="F15" t="str">
        <f>PLANURI!BC457</f>
        <v>D</v>
      </c>
      <c r="G15" t="str">
        <f>PLANURI!BD457</f>
        <v>DI</v>
      </c>
      <c r="H15">
        <f>PLANURI!BE457</f>
        <v>0</v>
      </c>
      <c r="I15">
        <f>PLANURI!BF457</f>
        <v>2</v>
      </c>
      <c r="J15">
        <f>PLANURI!BG457</f>
        <v>2</v>
      </c>
      <c r="K15">
        <f>PLANURI!BH457</f>
        <v>0</v>
      </c>
      <c r="L15">
        <f>PLANURI!BI457</f>
        <v>28</v>
      </c>
      <c r="M15">
        <f>PLANURI!BJ457</f>
        <v>28</v>
      </c>
      <c r="N15">
        <f>PLANURI!BK457</f>
        <v>0</v>
      </c>
      <c r="O15">
        <f>PLANURI!BL457</f>
        <v>0</v>
      </c>
      <c r="P15">
        <f>PLANURI!BM457</f>
        <v>0</v>
      </c>
      <c r="Q15">
        <f>PLANURI!BN457</f>
        <v>0</v>
      </c>
      <c r="R15" t="str">
        <f>PLANURI!BO457</f>
        <v>0</v>
      </c>
      <c r="S15">
        <f>PLANURI!BP457</f>
        <v>0</v>
      </c>
      <c r="T15">
        <f>PLANURI!BQ457</f>
        <v>5.0999999999999996</v>
      </c>
      <c r="U15">
        <f>PLANURI!BR457</f>
        <v>72</v>
      </c>
      <c r="V15">
        <f>PLANURI!BS457</f>
        <v>4</v>
      </c>
      <c r="W15" t="str">
        <f>PLANURI!BT457</f>
        <v>DF</v>
      </c>
      <c r="X15">
        <f>PLANURI!BU457</f>
        <v>7.1</v>
      </c>
      <c r="Y15">
        <f>PLANURI!BV457</f>
        <v>100</v>
      </c>
      <c r="Z15" t="str">
        <f>PLANURI!A$4</f>
        <v>Facultatea de Mecanică</v>
      </c>
      <c r="AA15" t="str">
        <f>PLANURI!H$6</f>
        <v xml:space="preserve"> Ştiinţe inginereşti</v>
      </c>
      <c r="AB15">
        <f>PLANURI!C$12</f>
        <v>130</v>
      </c>
      <c r="AC15" t="str">
        <f>PLANURI!H$9</f>
        <v>Tehnologia Constructiilor de Masini</v>
      </c>
      <c r="AD15">
        <f>PLANURI!A$12</f>
        <v>20</v>
      </c>
      <c r="AE15">
        <f>PLANURI!B$12</f>
        <v>70</v>
      </c>
      <c r="AF15">
        <f>PLANURI!D$12</f>
        <v>10</v>
      </c>
      <c r="AG15" t="str">
        <f>PLANURI!BW457</f>
        <v>2019</v>
      </c>
    </row>
    <row r="16" spans="1:33" x14ac:dyDescent="0.2">
      <c r="A16" t="str">
        <f>PLANURI!AX458</f>
        <v>L420.19.02.F2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2.5</v>
      </c>
      <c r="K16">
        <f>PLANURI!BH458</f>
        <v>0</v>
      </c>
      <c r="L16">
        <f>PLANURI!BI458</f>
        <v>35</v>
      </c>
      <c r="M16">
        <f>PLANURI!BJ458</f>
        <v>35</v>
      </c>
      <c r="N16">
        <f>PLANURI!BK458</f>
        <v>0</v>
      </c>
      <c r="O16">
        <f>PLANURI!BL458</f>
        <v>0</v>
      </c>
      <c r="P16">
        <f>PLANURI!BM458</f>
        <v>0</v>
      </c>
      <c r="Q16">
        <f>PLANURI!BN458</f>
        <v>0</v>
      </c>
      <c r="R16" t="str">
        <f>PLANURI!BO458</f>
        <v>0</v>
      </c>
      <c r="S16">
        <f>PLANURI!BP458</f>
        <v>0</v>
      </c>
      <c r="T16">
        <f>PLANURI!BQ458</f>
        <v>6.4</v>
      </c>
      <c r="U16">
        <f>PLANURI!BR458</f>
        <v>90</v>
      </c>
      <c r="V16">
        <f>PLANURI!BS458</f>
        <v>5</v>
      </c>
      <c r="W16" t="str">
        <f>PLANURI!BT458</f>
        <v>DF</v>
      </c>
      <c r="X16">
        <f>PLANURI!BU458</f>
        <v>8.9</v>
      </c>
      <c r="Y16">
        <f>PLANURI!BV458</f>
        <v>125</v>
      </c>
      <c r="Z16" t="str">
        <f>PLANURI!A$4</f>
        <v>Facultatea de Mecanică</v>
      </c>
      <c r="AA16" t="str">
        <f>PLANURI!H$6</f>
        <v xml:space="preserve"> Ştiinţe inginereşti</v>
      </c>
      <c r="AB16">
        <f>PLANURI!C$12</f>
        <v>130</v>
      </c>
      <c r="AC16" t="str">
        <f>PLANURI!H$9</f>
        <v>Tehnologia Constructiilor de Masini</v>
      </c>
      <c r="AD16">
        <f>PLANURI!A$12</f>
        <v>20</v>
      </c>
      <c r="AE16">
        <f>PLANURI!B$12</f>
        <v>70</v>
      </c>
      <c r="AF16">
        <f>PLANURI!D$12</f>
        <v>10</v>
      </c>
      <c r="AG16" t="str">
        <f>PLANURI!BW458</f>
        <v>2019</v>
      </c>
    </row>
    <row r="17" spans="1:33" x14ac:dyDescent="0.2">
      <c r="A17" t="str">
        <f>PLANURI!AX459</f>
        <v>L420.19.02.D3</v>
      </c>
      <c r="B17">
        <f>PLANURI!AY459</f>
        <v>3</v>
      </c>
      <c r="C17" t="str">
        <f>PLANURI!AZ459</f>
        <v>Ştiinţa si ingineria materialelor I</v>
      </c>
      <c r="D17">
        <f>PLANURI!BA459</f>
        <v>1</v>
      </c>
      <c r="E17" t="str">
        <f>PLANURI!BB459</f>
        <v>2</v>
      </c>
      <c r="F17" t="str">
        <f>PLANURI!BC459</f>
        <v>E</v>
      </c>
      <c r="G17" t="str">
        <f>PLANURI!BD459</f>
        <v>DI</v>
      </c>
      <c r="H17">
        <f>PLANURI!BE459</f>
        <v>0</v>
      </c>
      <c r="I17">
        <f>PLANURI!BF459</f>
        <v>2</v>
      </c>
      <c r="J17">
        <f>PLANURI!BG459</f>
        <v>2</v>
      </c>
      <c r="K17">
        <f>PLANURI!BH459</f>
        <v>0</v>
      </c>
      <c r="L17">
        <f>PLANURI!BI459</f>
        <v>28</v>
      </c>
      <c r="M17">
        <f>PLANURI!BJ459</f>
        <v>28</v>
      </c>
      <c r="N17">
        <f>PLANURI!BK459</f>
        <v>0</v>
      </c>
      <c r="O17">
        <f>PLANURI!BL459</f>
        <v>0</v>
      </c>
      <c r="P17">
        <f>PLANURI!BM459</f>
        <v>0</v>
      </c>
      <c r="Q17">
        <f>PLANURI!BN459</f>
        <v>0</v>
      </c>
      <c r="R17" t="str">
        <f>PLANURI!BO459</f>
        <v>0</v>
      </c>
      <c r="S17">
        <f>PLANURI!BP459</f>
        <v>0</v>
      </c>
      <c r="T17">
        <f>PLANURI!BQ459</f>
        <v>6.9</v>
      </c>
      <c r="U17">
        <f>PLANURI!BR459</f>
        <v>97</v>
      </c>
      <c r="V17">
        <f>PLANURI!BS459</f>
        <v>5</v>
      </c>
      <c r="W17" t="str">
        <f>PLANURI!BT459</f>
        <v>DD</v>
      </c>
      <c r="X17">
        <f>PLANURI!BU459</f>
        <v>8.9</v>
      </c>
      <c r="Y17">
        <f>PLANURI!BV459</f>
        <v>125</v>
      </c>
      <c r="Z17" t="str">
        <f>PLANURI!A$4</f>
        <v>Facultatea de Mecanică</v>
      </c>
      <c r="AA17" t="str">
        <f>PLANURI!H$6</f>
        <v xml:space="preserve"> Ştiinţe inginereşti</v>
      </c>
      <c r="AB17">
        <f>PLANURI!C$12</f>
        <v>130</v>
      </c>
      <c r="AC17" t="str">
        <f>PLANURI!H$9</f>
        <v>Tehnologia Constructiilor de Masini</v>
      </c>
      <c r="AD17">
        <f>PLANURI!A$12</f>
        <v>20</v>
      </c>
      <c r="AE17">
        <f>PLANURI!B$12</f>
        <v>70</v>
      </c>
      <c r="AF17">
        <f>PLANURI!D$12</f>
        <v>10</v>
      </c>
      <c r="AG17" t="str">
        <f>PLANURI!BW459</f>
        <v>2019</v>
      </c>
    </row>
    <row r="18" spans="1:33" x14ac:dyDescent="0.2">
      <c r="A18" t="str">
        <f>PLANURI!AX460</f>
        <v>L420.19.02.D4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2</v>
      </c>
      <c r="K18">
        <f>PLANURI!BH460</f>
        <v>0</v>
      </c>
      <c r="L18">
        <f>PLANURI!BI460</f>
        <v>28</v>
      </c>
      <c r="M18">
        <f>PLANURI!BJ460</f>
        <v>28</v>
      </c>
      <c r="N18">
        <f>PLANURI!BK460</f>
        <v>0</v>
      </c>
      <c r="O18">
        <f>PLANURI!BL460</f>
        <v>0</v>
      </c>
      <c r="P18">
        <f>PLANURI!BM460</f>
        <v>0</v>
      </c>
      <c r="Q18">
        <f>PLANURI!BN460</f>
        <v>0</v>
      </c>
      <c r="R18" t="str">
        <f>PLANURI!BO460</f>
        <v>0</v>
      </c>
      <c r="S18">
        <f>PLANURI!BP460</f>
        <v>0</v>
      </c>
      <c r="T18">
        <f>PLANURI!BQ460</f>
        <v>6.9</v>
      </c>
      <c r="U18">
        <f>PLANURI!BR460</f>
        <v>97</v>
      </c>
      <c r="V18">
        <f>PLANURI!BS460</f>
        <v>5</v>
      </c>
      <c r="W18" t="str">
        <f>PLANURI!BT460</f>
        <v>DD</v>
      </c>
      <c r="X18">
        <f>PLANURI!BU460</f>
        <v>8.9</v>
      </c>
      <c r="Y18">
        <f>PLANURI!BV460</f>
        <v>125</v>
      </c>
      <c r="Z18" t="str">
        <f>PLANURI!A$4</f>
        <v>Facultatea de Mecanică</v>
      </c>
      <c r="AA18" t="str">
        <f>PLANURI!H$6</f>
        <v xml:space="preserve"> Ştiinţe inginereşti</v>
      </c>
      <c r="AB18">
        <f>PLANURI!C$12</f>
        <v>130</v>
      </c>
      <c r="AC18" t="str">
        <f>PLANURI!H$9</f>
        <v>Tehnologia Constructiilor de Masini</v>
      </c>
      <c r="AD18">
        <f>PLANURI!A$12</f>
        <v>20</v>
      </c>
      <c r="AE18">
        <f>PLANURI!B$12</f>
        <v>70</v>
      </c>
      <c r="AF18">
        <f>PLANURI!D$12</f>
        <v>10</v>
      </c>
      <c r="AG18" t="str">
        <f>PLANURI!BW460</f>
        <v>2019</v>
      </c>
    </row>
    <row r="19" spans="1:33" x14ac:dyDescent="0.2">
      <c r="A19" t="str">
        <f>PLANURI!AX461</f>
        <v>L420.19.02.D5</v>
      </c>
      <c r="B19">
        <f>PLANURI!AY461</f>
        <v>5</v>
      </c>
      <c r="C19" t="str">
        <f>PLANURI!AZ461</f>
        <v xml:space="preserve">Tehnologia materialelor </v>
      </c>
      <c r="D19">
        <f>PLANURI!BA461</f>
        <v>1</v>
      </c>
      <c r="E19" t="str">
        <f>PLANURI!BB461</f>
        <v>2</v>
      </c>
      <c r="F19" t="str">
        <f>PLANURI!BC461</f>
        <v>E</v>
      </c>
      <c r="G19" t="str">
        <f>PLANURI!BD461</f>
        <v>DI</v>
      </c>
      <c r="H19">
        <f>PLANURI!BE461</f>
        <v>0</v>
      </c>
      <c r="I19">
        <f>PLANURI!BF461</f>
        <v>2</v>
      </c>
      <c r="J19">
        <f>PLANURI!BG461</f>
        <v>2</v>
      </c>
      <c r="K19">
        <f>PLANURI!BH461</f>
        <v>0</v>
      </c>
      <c r="L19">
        <f>PLANURI!BI461</f>
        <v>28</v>
      </c>
      <c r="M19">
        <f>PLANURI!BJ461</f>
        <v>28</v>
      </c>
      <c r="N19">
        <f>PLANURI!BK461</f>
        <v>0</v>
      </c>
      <c r="O19">
        <f>PLANURI!BL461</f>
        <v>0</v>
      </c>
      <c r="P19">
        <f>PLANURI!BM461</f>
        <v>0</v>
      </c>
      <c r="Q19">
        <f>PLANURI!BN461</f>
        <v>0</v>
      </c>
      <c r="R19" t="str">
        <f>PLANURI!BO461</f>
        <v>0</v>
      </c>
      <c r="S19">
        <f>PLANURI!BP461</f>
        <v>0</v>
      </c>
      <c r="T19">
        <f>PLANURI!BQ461</f>
        <v>6.9</v>
      </c>
      <c r="U19">
        <f>PLANURI!BR461</f>
        <v>97</v>
      </c>
      <c r="V19">
        <f>PLANURI!BS461</f>
        <v>5</v>
      </c>
      <c r="W19" t="str">
        <f>PLANURI!BT461</f>
        <v>DD</v>
      </c>
      <c r="X19">
        <f>PLANURI!BU461</f>
        <v>8.9</v>
      </c>
      <c r="Y19">
        <f>PLANURI!BV461</f>
        <v>125</v>
      </c>
      <c r="Z19" t="str">
        <f>PLANURI!A$4</f>
        <v>Facultatea de Mecanică</v>
      </c>
      <c r="AA19" t="str">
        <f>PLANURI!H$6</f>
        <v xml:space="preserve"> Ştiinţe inginereşti</v>
      </c>
      <c r="AB19">
        <f>PLANURI!C$12</f>
        <v>130</v>
      </c>
      <c r="AC19" t="str">
        <f>PLANURI!H$9</f>
        <v>Tehnologia Constructiilor de Masini</v>
      </c>
      <c r="AD19">
        <f>PLANURI!A$12</f>
        <v>20</v>
      </c>
      <c r="AE19">
        <f>PLANURI!B$12</f>
        <v>70</v>
      </c>
      <c r="AF19">
        <f>PLANURI!D$12</f>
        <v>10</v>
      </c>
      <c r="AG19" t="str">
        <f>PLANURI!BW461</f>
        <v>2019</v>
      </c>
    </row>
    <row r="20" spans="1:33" x14ac:dyDescent="0.2">
      <c r="A20" t="str">
        <f>PLANURI!AX462</f>
        <v>L420.19.02.C6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1</v>
      </c>
      <c r="K20">
        <f>PLANURI!BH462</f>
        <v>0</v>
      </c>
      <c r="L20">
        <f>PLANURI!BI462</f>
        <v>14</v>
      </c>
      <c r="M20">
        <f>PLANURI!BJ462</f>
        <v>14</v>
      </c>
      <c r="N20">
        <f>PLANURI!BK462</f>
        <v>0</v>
      </c>
      <c r="O20">
        <f>PLANURI!BL462</f>
        <v>0</v>
      </c>
      <c r="P20">
        <f>PLANURI!BM462</f>
        <v>0</v>
      </c>
      <c r="Q20">
        <f>PLANURI!BN462</f>
        <v>0</v>
      </c>
      <c r="R20" t="str">
        <f>PLANURI!BO462</f>
        <v>0</v>
      </c>
      <c r="S20">
        <f>PLANURI!BP462</f>
        <v>0</v>
      </c>
      <c r="T20">
        <f>PLANURI!BQ462</f>
        <v>2.6</v>
      </c>
      <c r="U20">
        <f>PLANURI!BR462</f>
        <v>36</v>
      </c>
      <c r="V20">
        <f>PLANURI!BS462</f>
        <v>2</v>
      </c>
      <c r="W20" t="str">
        <f>PLANURI!BT462</f>
        <v>DC</v>
      </c>
      <c r="X20">
        <f>PLANURI!BU462</f>
        <v>3.6</v>
      </c>
      <c r="Y20">
        <f>PLANURI!BV462</f>
        <v>50</v>
      </c>
      <c r="Z20" t="str">
        <f>PLANURI!A$4</f>
        <v>Facultatea de Mecanică</v>
      </c>
      <c r="AA20" t="str">
        <f>PLANURI!H$6</f>
        <v xml:space="preserve"> Ştiinţe inginereşti</v>
      </c>
      <c r="AB20">
        <f>PLANURI!C$12</f>
        <v>130</v>
      </c>
      <c r="AC20" t="str">
        <f>PLANURI!H$9</f>
        <v>Tehnologia Constructiilor de Masini</v>
      </c>
      <c r="AD20">
        <f>PLANURI!A$12</f>
        <v>20</v>
      </c>
      <c r="AE20">
        <f>PLANURI!B$12</f>
        <v>70</v>
      </c>
      <c r="AF20">
        <f>PLANURI!D$12</f>
        <v>10</v>
      </c>
      <c r="AG20" t="str">
        <f>PLANURI!BW462</f>
        <v>2019</v>
      </c>
    </row>
    <row r="21" spans="1:33" x14ac:dyDescent="0.2">
      <c r="A21" t="str">
        <f>PLANURI!AX463</f>
        <v>L420.19.02.C7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130</v>
      </c>
      <c r="AC21" t="str">
        <f>PLANURI!H$9</f>
        <v>Tehnologia Constructiilor de Masini</v>
      </c>
      <c r="AD21">
        <f>PLANURI!A$12</f>
        <v>20</v>
      </c>
      <c r="AE21">
        <f>PLANURI!B$12</f>
        <v>70</v>
      </c>
      <c r="AF21">
        <f>PLANURI!D$12</f>
        <v>10</v>
      </c>
      <c r="AG21" t="str">
        <f>PLANURI!BW463</f>
        <v>2019</v>
      </c>
    </row>
    <row r="22" spans="1:33" x14ac:dyDescent="0.2">
      <c r="A22" t="str">
        <f>PLANURI!AX464</f>
        <v>L420.19.02.C8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130</v>
      </c>
      <c r="AC22" t="str">
        <f>PLANURI!H$9</f>
        <v>Tehnologia Constructiilor de Masini</v>
      </c>
      <c r="AD22">
        <f>PLANURI!A$12</f>
        <v>20</v>
      </c>
      <c r="AE22">
        <f>PLANURI!B$12</f>
        <v>70</v>
      </c>
      <c r="AF22">
        <f>PLANURI!D$12</f>
        <v>10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130</v>
      </c>
      <c r="AC23" t="str">
        <f>PLANURI!H$9</f>
        <v>Tehnologia Constructiilor de Masini</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130</v>
      </c>
      <c r="AC24" t="str">
        <f>PLANURI!H$9</f>
        <v>Tehnologia Constructiilor de Masini</v>
      </c>
      <c r="AD24">
        <f>PLANURI!A$12</f>
        <v>20</v>
      </c>
      <c r="AE24">
        <f>PLANURI!B$12</f>
        <v>70</v>
      </c>
      <c r="AF24">
        <f>PLANURI!D$12</f>
        <v>10</v>
      </c>
      <c r="AG24" t="str">
        <f>PLANURI!BW466</f>
        <v/>
      </c>
    </row>
    <row r="25" spans="1:33" x14ac:dyDescent="0.2">
      <c r="A25" t="str">
        <f>PLANURI!AX467</f>
        <v>L420.19.02.11-ij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130</v>
      </c>
      <c r="AC25" t="str">
        <f>PLANURI!H$9</f>
        <v>Tehnologia Constructiilor de Masini</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130</v>
      </c>
      <c r="AC26" t="str">
        <f>PLANURI!H$9</f>
        <v>Tehnologia Constructiilor de Masini</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130</v>
      </c>
      <c r="AC27" t="str">
        <f>PLANURI!H$9</f>
        <v>Tehnologia Constructiilor de Masini</v>
      </c>
      <c r="AD27">
        <f>PLANURI!A$12</f>
        <v>20</v>
      </c>
      <c r="AE27">
        <f>PLANURI!B$12</f>
        <v>70</v>
      </c>
      <c r="AF27">
        <f>PLANURI!D$12</f>
        <v>10</v>
      </c>
      <c r="AG27" t="e">
        <f>PLANURI!BW469</f>
        <v>#VALUE!</v>
      </c>
    </row>
    <row r="28" spans="1:33" x14ac:dyDescent="0.2">
      <c r="A28" t="str">
        <f>PLANURI!AX470</f>
        <v>L420.19.03.D1</v>
      </c>
      <c r="B28">
        <f>PLANURI!AY470</f>
        <v>1</v>
      </c>
      <c r="C28" t="str">
        <f>PLANURI!AZ470</f>
        <v>Fundamente de inginerie electrică şi electronică</v>
      </c>
      <c r="D28">
        <f>PLANURI!BA470</f>
        <v>2</v>
      </c>
      <c r="E28" t="str">
        <f>PLANURI!BB470</f>
        <v>3</v>
      </c>
      <c r="F28" t="str">
        <f>PLANURI!BC470</f>
        <v>E</v>
      </c>
      <c r="G28" t="str">
        <f>PLANURI!BD470</f>
        <v>DI</v>
      </c>
      <c r="H28">
        <f>PLANURI!WL470</f>
        <v>0</v>
      </c>
      <c r="I28">
        <f>PLANURI!BF470</f>
        <v>2</v>
      </c>
      <c r="J28">
        <f>PLANURI!BG470</f>
        <v>2</v>
      </c>
      <c r="K28">
        <f>PLANURI!BH470</f>
        <v>0</v>
      </c>
      <c r="L28">
        <f>PLANURI!BI470</f>
        <v>28</v>
      </c>
      <c r="M28">
        <f>PLANURI!BJ470</f>
        <v>28</v>
      </c>
      <c r="N28">
        <f>PLANURI!BK470</f>
        <v>0</v>
      </c>
      <c r="O28">
        <f>PLANURI!BL470</f>
        <v>0</v>
      </c>
      <c r="P28">
        <f>PLANURI!BM470</f>
        <v>0</v>
      </c>
      <c r="Q28">
        <f>PLANURI!BN470</f>
        <v>0</v>
      </c>
      <c r="R28" t="str">
        <f>PLANURI!BO470</f>
        <v>0</v>
      </c>
      <c r="S28">
        <f>PLANURI!BP470</f>
        <v>0</v>
      </c>
      <c r="T28">
        <f>PLANURI!BQ470</f>
        <v>6.9</v>
      </c>
      <c r="U28">
        <f>PLANURI!BR470</f>
        <v>97</v>
      </c>
      <c r="V28">
        <f>PLANURI!BS470</f>
        <v>5</v>
      </c>
      <c r="W28" t="str">
        <f>PLANURI!BT470</f>
        <v>DD</v>
      </c>
      <c r="X28">
        <f>PLANURI!BU470</f>
        <v>8.9</v>
      </c>
      <c r="Y28">
        <f>PLANURI!BV470</f>
        <v>125</v>
      </c>
      <c r="Z28" t="str">
        <f>PLANURI!A$4</f>
        <v>Facultatea de Mecanică</v>
      </c>
      <c r="AA28" t="str">
        <f>PLANURI!H$6</f>
        <v xml:space="preserve"> Ştiinţe inginereşti</v>
      </c>
      <c r="AB28">
        <f>PLANURI!C$12</f>
        <v>130</v>
      </c>
      <c r="AC28" t="str">
        <f>PLANURI!H$9</f>
        <v>Tehnologia Constructiilor de Masini</v>
      </c>
      <c r="AD28">
        <f>PLANURI!A$12</f>
        <v>20</v>
      </c>
      <c r="AE28">
        <f>PLANURI!B$12</f>
        <v>70</v>
      </c>
      <c r="AF28">
        <f>PLANURI!D$12</f>
        <v>10</v>
      </c>
      <c r="AG28" t="str">
        <f>PLANURI!BW470</f>
        <v>2020</v>
      </c>
    </row>
    <row r="29" spans="1:33" x14ac:dyDescent="0.2">
      <c r="A29" t="str">
        <f>PLANURI!AX471</f>
        <v>L420.19.03.F2</v>
      </c>
      <c r="B29">
        <f>PLANURI!AY471</f>
        <v>2</v>
      </c>
      <c r="C29" t="str">
        <f>PLANURI!AZ471</f>
        <v>Matematici asistate de calculator</v>
      </c>
      <c r="D29">
        <f>PLANURI!BA471</f>
        <v>2</v>
      </c>
      <c r="E29" t="str">
        <f>PLANURI!BB471</f>
        <v>3</v>
      </c>
      <c r="F29" t="str">
        <f>PLANURI!BC471</f>
        <v>D</v>
      </c>
      <c r="G29" t="str">
        <f>PLANURI!BD471</f>
        <v>DI</v>
      </c>
      <c r="H29">
        <f>PLANURI!BE471</f>
        <v>0</v>
      </c>
      <c r="I29">
        <f>PLANURI!BF471</f>
        <v>2</v>
      </c>
      <c r="J29">
        <f>PLANURI!BG471</f>
        <v>2</v>
      </c>
      <c r="K29">
        <f>PLANURI!BH471</f>
        <v>0</v>
      </c>
      <c r="L29">
        <f>PLANURI!BI471</f>
        <v>28</v>
      </c>
      <c r="M29">
        <f>PLANURI!BJ471</f>
        <v>28</v>
      </c>
      <c r="N29">
        <f>PLANURI!BK471</f>
        <v>0</v>
      </c>
      <c r="O29">
        <f>PLANURI!BL471</f>
        <v>0</v>
      </c>
      <c r="P29">
        <f>PLANURI!BM471</f>
        <v>0</v>
      </c>
      <c r="Q29">
        <f>PLANURI!BN471</f>
        <v>0</v>
      </c>
      <c r="R29" t="str">
        <f>PLANURI!BO471</f>
        <v>0</v>
      </c>
      <c r="S29">
        <f>PLANURI!BP471</f>
        <v>0</v>
      </c>
      <c r="T29">
        <f>PLANURI!BQ471</f>
        <v>6.9</v>
      </c>
      <c r="U29">
        <f>PLANURI!BR471</f>
        <v>97</v>
      </c>
      <c r="V29">
        <f>PLANURI!BS471</f>
        <v>5</v>
      </c>
      <c r="W29" t="str">
        <f>PLANURI!BT471</f>
        <v>DF</v>
      </c>
      <c r="X29">
        <f>PLANURI!BU471</f>
        <v>8.9</v>
      </c>
      <c r="Y29">
        <f>PLANURI!BV471</f>
        <v>125</v>
      </c>
      <c r="Z29" t="str">
        <f>PLANURI!A$4</f>
        <v>Facultatea de Mecanică</v>
      </c>
      <c r="AA29" t="str">
        <f>PLANURI!H$6</f>
        <v xml:space="preserve"> Ştiinţe inginereşti</v>
      </c>
      <c r="AB29">
        <f>PLANURI!C$12</f>
        <v>130</v>
      </c>
      <c r="AC29" t="str">
        <f>PLANURI!H$9</f>
        <v>Tehnologia Constructiilor de Masini</v>
      </c>
      <c r="AD29">
        <f>PLANURI!A$12</f>
        <v>20</v>
      </c>
      <c r="AE29">
        <f>PLANURI!B$12</f>
        <v>70</v>
      </c>
      <c r="AF29">
        <f>PLANURI!D$12</f>
        <v>10</v>
      </c>
      <c r="AG29" t="str">
        <f>PLANURI!BW471</f>
        <v>2020</v>
      </c>
    </row>
    <row r="30" spans="1:33" x14ac:dyDescent="0.2">
      <c r="A30" t="str">
        <f>PLANURI!AX472</f>
        <v>L420.19.03.D3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2</v>
      </c>
      <c r="K30">
        <f>PLANURI!BH472</f>
        <v>0</v>
      </c>
      <c r="L30">
        <f>PLANURI!BI472</f>
        <v>28</v>
      </c>
      <c r="M30">
        <f>PLANURI!BJ472</f>
        <v>28</v>
      </c>
      <c r="N30">
        <f>PLANURI!BK472</f>
        <v>0</v>
      </c>
      <c r="O30">
        <f>PLANURI!BL472</f>
        <v>0</v>
      </c>
      <c r="P30">
        <f>PLANURI!BM472</f>
        <v>0</v>
      </c>
      <c r="Q30">
        <f>PLANURI!BN472</f>
        <v>0</v>
      </c>
      <c r="R30" t="str">
        <f>PLANURI!BO472</f>
        <v>0</v>
      </c>
      <c r="S30">
        <f>PLANURI!BP472</f>
        <v>0</v>
      </c>
      <c r="T30">
        <f>PLANURI!BQ472</f>
        <v>5.0999999999999996</v>
      </c>
      <c r="U30">
        <f>PLANURI!BR472</f>
        <v>72</v>
      </c>
      <c r="V30">
        <f>PLANURI!BS472</f>
        <v>4</v>
      </c>
      <c r="W30" t="str">
        <f>PLANURI!BT472</f>
        <v>DD</v>
      </c>
      <c r="X30">
        <f>PLANURI!BU472</f>
        <v>7.1</v>
      </c>
      <c r="Y30">
        <f>PLANURI!BV472</f>
        <v>100</v>
      </c>
      <c r="Z30" t="str">
        <f>PLANURI!A$4</f>
        <v>Facultatea de Mecanică</v>
      </c>
      <c r="AA30" t="str">
        <f>PLANURI!H$6</f>
        <v xml:space="preserve"> Ştiinţe inginereşti</v>
      </c>
      <c r="AB30">
        <f>PLANURI!C$12</f>
        <v>130</v>
      </c>
      <c r="AC30" t="str">
        <f>PLANURI!H$9</f>
        <v>Tehnologia Constructiilor de Masini</v>
      </c>
      <c r="AD30">
        <f>PLANURI!A$12</f>
        <v>20</v>
      </c>
      <c r="AE30">
        <f>PLANURI!B$12</f>
        <v>70</v>
      </c>
      <c r="AF30">
        <f>PLANURI!D$12</f>
        <v>10</v>
      </c>
      <c r="AG30" t="str">
        <f>PLANURI!BW472</f>
        <v>2020</v>
      </c>
    </row>
    <row r="31" spans="1:33" x14ac:dyDescent="0.2">
      <c r="A31" t="str">
        <f>PLANURI!AX473</f>
        <v>L420.19.03.F4</v>
      </c>
      <c r="B31">
        <f>PLANURI!AY473</f>
        <v>4</v>
      </c>
      <c r="C31" t="str">
        <f>PLANURI!AZ473</f>
        <v>Utilizarea calculatoarelor II</v>
      </c>
      <c r="D31">
        <f>PLANURI!BA473</f>
        <v>2</v>
      </c>
      <c r="E31" t="str">
        <f>PLANURI!BB473</f>
        <v>3</v>
      </c>
      <c r="F31" t="str">
        <f>PLANURI!BC473</f>
        <v>D</v>
      </c>
      <c r="G31" t="str">
        <f>PLANURI!BD473</f>
        <v>DI</v>
      </c>
      <c r="H31">
        <f>PLANURI!BE473</f>
        <v>0</v>
      </c>
      <c r="I31">
        <f>PLANURI!BF473</f>
        <v>2</v>
      </c>
      <c r="J31">
        <f>PLANURI!BG473</f>
        <v>2</v>
      </c>
      <c r="K31">
        <f>PLANURI!BH473</f>
        <v>0</v>
      </c>
      <c r="L31">
        <f>PLANURI!BI473</f>
        <v>28</v>
      </c>
      <c r="M31">
        <f>PLANURI!BJ473</f>
        <v>28</v>
      </c>
      <c r="N31">
        <f>PLANURI!BK473</f>
        <v>0</v>
      </c>
      <c r="O31">
        <f>PLANURI!BL473</f>
        <v>0</v>
      </c>
      <c r="P31">
        <f>PLANURI!BM473</f>
        <v>0</v>
      </c>
      <c r="Q31">
        <f>PLANURI!BN473</f>
        <v>0</v>
      </c>
      <c r="R31" t="str">
        <f>PLANURI!BO473</f>
        <v>0</v>
      </c>
      <c r="S31">
        <f>PLANURI!BP473</f>
        <v>0</v>
      </c>
      <c r="T31">
        <f>PLANURI!BQ473</f>
        <v>3.4</v>
      </c>
      <c r="U31">
        <f>PLANURI!BR473</f>
        <v>47</v>
      </c>
      <c r="V31">
        <f>PLANURI!BS473</f>
        <v>3</v>
      </c>
      <c r="W31" t="str">
        <f>PLANURI!BT473</f>
        <v>DF</v>
      </c>
      <c r="X31">
        <f>PLANURI!BU473</f>
        <v>5.4</v>
      </c>
      <c r="Y31">
        <f>PLANURI!BV473</f>
        <v>75</v>
      </c>
      <c r="Z31" t="str">
        <f>PLANURI!A$4</f>
        <v>Facultatea de Mecanică</v>
      </c>
      <c r="AA31" t="str">
        <f>PLANURI!H$6</f>
        <v xml:space="preserve"> Ştiinţe inginereşti</v>
      </c>
      <c r="AB31">
        <f>PLANURI!C$12</f>
        <v>130</v>
      </c>
      <c r="AC31" t="str">
        <f>PLANURI!H$9</f>
        <v>Tehnologia Constructiilor de Masini</v>
      </c>
      <c r="AD31">
        <f>PLANURI!A$12</f>
        <v>20</v>
      </c>
      <c r="AE31">
        <f>PLANURI!B$12</f>
        <v>70</v>
      </c>
      <c r="AF31">
        <f>PLANURI!D$12</f>
        <v>10</v>
      </c>
      <c r="AG31" t="str">
        <f>PLANURI!BW473</f>
        <v>2020</v>
      </c>
    </row>
    <row r="32" spans="1:33" x14ac:dyDescent="0.2">
      <c r="A32" t="str">
        <f>PLANURI!AX474</f>
        <v>L420.19.03.F5</v>
      </c>
      <c r="B32">
        <f>PLANURI!AY474</f>
        <v>5</v>
      </c>
      <c r="C32" t="str">
        <f>PLANURI!AZ474</f>
        <v>Introducere în metode numerice</v>
      </c>
      <c r="D32">
        <f>PLANURI!BA474</f>
        <v>2</v>
      </c>
      <c r="E32" t="str">
        <f>PLANURI!BB474</f>
        <v>3</v>
      </c>
      <c r="F32" t="str">
        <f>PLANURI!BC474</f>
        <v>D</v>
      </c>
      <c r="G32" t="str">
        <f>PLANURI!BD474</f>
        <v>DI</v>
      </c>
      <c r="H32">
        <f>PLANURI!WL474</f>
        <v>0</v>
      </c>
      <c r="I32">
        <f>PLANURI!BF474</f>
        <v>2</v>
      </c>
      <c r="J32">
        <f>PLANURI!BG474</f>
        <v>2</v>
      </c>
      <c r="K32">
        <f>PLANURI!BH474</f>
        <v>0</v>
      </c>
      <c r="L32">
        <f>PLANURI!BI474</f>
        <v>28</v>
      </c>
      <c r="M32">
        <f>PLANURI!BJ474</f>
        <v>28</v>
      </c>
      <c r="N32">
        <f>PLANURI!BK474</f>
        <v>0</v>
      </c>
      <c r="O32">
        <f>PLANURI!BL474</f>
        <v>0</v>
      </c>
      <c r="P32">
        <f>PLANURI!BM474</f>
        <v>0</v>
      </c>
      <c r="Q32">
        <f>PLANURI!BN474</f>
        <v>0</v>
      </c>
      <c r="R32" t="str">
        <f>PLANURI!BO474</f>
        <v>0</v>
      </c>
      <c r="S32">
        <f>PLANURI!BP474</f>
        <v>0</v>
      </c>
      <c r="T32">
        <f>PLANURI!BQ474</f>
        <v>3.4</v>
      </c>
      <c r="U32">
        <f>PLANURI!BR474</f>
        <v>47</v>
      </c>
      <c r="V32">
        <f>PLANURI!BS474</f>
        <v>3</v>
      </c>
      <c r="W32" t="str">
        <f>PLANURI!BT474</f>
        <v>DF</v>
      </c>
      <c r="X32">
        <f>PLANURI!BU474</f>
        <v>5.4</v>
      </c>
      <c r="Y32">
        <f>PLANURI!BV474</f>
        <v>75</v>
      </c>
      <c r="Z32" t="str">
        <f>PLANURI!A$4</f>
        <v>Facultatea de Mecanică</v>
      </c>
      <c r="AA32" t="str">
        <f>PLANURI!H$6</f>
        <v xml:space="preserve"> Ştiinţe inginereşti</v>
      </c>
      <c r="AB32">
        <f>PLANURI!C$12</f>
        <v>130</v>
      </c>
      <c r="AC32" t="str">
        <f>PLANURI!H$9</f>
        <v>Tehnologia Constructiilor de Masini</v>
      </c>
      <c r="AD32">
        <f>PLANURI!A$12</f>
        <v>20</v>
      </c>
      <c r="AE32">
        <f>PLANURI!B$12</f>
        <v>70</v>
      </c>
      <c r="AF32">
        <f>PLANURI!D$12</f>
        <v>10</v>
      </c>
      <c r="AG32" t="str">
        <f>PLANURI!BW474</f>
        <v>2020</v>
      </c>
    </row>
    <row r="33" spans="1:33" x14ac:dyDescent="0.2">
      <c r="A33" t="str">
        <f>PLANURI!AX475</f>
        <v>L420.19.03.D6</v>
      </c>
      <c r="B33">
        <f>PLANURI!AY475</f>
        <v>6</v>
      </c>
      <c r="C33" t="str">
        <f>PLANURI!AZ475</f>
        <v>Ştiinţa materialelor II</v>
      </c>
      <c r="D33">
        <f>PLANURI!BA475</f>
        <v>2</v>
      </c>
      <c r="E33" t="str">
        <f>PLANURI!BB475</f>
        <v>3</v>
      </c>
      <c r="F33" t="str">
        <f>PLANURI!BC475</f>
        <v>E</v>
      </c>
      <c r="G33" t="str">
        <f>PLANURI!BD475</f>
        <v>DI</v>
      </c>
      <c r="H33">
        <f>PLANURI!BE475</f>
        <v>0</v>
      </c>
      <c r="I33">
        <f>PLANURI!BF475</f>
        <v>1</v>
      </c>
      <c r="J33">
        <f>PLANURI!BG475</f>
        <v>1</v>
      </c>
      <c r="K33">
        <f>PLANURI!BH475</f>
        <v>0</v>
      </c>
      <c r="L33">
        <f>PLANURI!BI475</f>
        <v>14</v>
      </c>
      <c r="M33">
        <f>PLANURI!BJ475</f>
        <v>14</v>
      </c>
      <c r="N33">
        <f>PLANURI!BK475</f>
        <v>0</v>
      </c>
      <c r="O33">
        <f>PLANURI!BL475</f>
        <v>0</v>
      </c>
      <c r="P33">
        <f>PLANURI!BM475</f>
        <v>0</v>
      </c>
      <c r="Q33">
        <f>PLANURI!BN475</f>
        <v>0</v>
      </c>
      <c r="R33" t="str">
        <f>PLANURI!BO475</f>
        <v>0</v>
      </c>
      <c r="S33">
        <f>PLANURI!BP475</f>
        <v>0</v>
      </c>
      <c r="T33">
        <f>PLANURI!BQ475</f>
        <v>6.1</v>
      </c>
      <c r="U33">
        <f>PLANURI!BR475</f>
        <v>86</v>
      </c>
      <c r="V33">
        <f>PLANURI!BS475</f>
        <v>4</v>
      </c>
      <c r="W33" t="str">
        <f>PLANURI!BT475</f>
        <v>DD</v>
      </c>
      <c r="X33">
        <f>PLANURI!BU475</f>
        <v>7.1</v>
      </c>
      <c r="Y33">
        <f>PLANURI!BV475</f>
        <v>100</v>
      </c>
      <c r="Z33" t="str">
        <f>PLANURI!A$4</f>
        <v>Facultatea de Mecanică</v>
      </c>
      <c r="AA33" t="str">
        <f>PLANURI!H$6</f>
        <v xml:space="preserve"> Ştiinţe inginereşti</v>
      </c>
      <c r="AB33">
        <f>PLANURI!C$12</f>
        <v>130</v>
      </c>
      <c r="AC33" t="str">
        <f>PLANURI!H$9</f>
        <v>Tehnologia Constructiilor de Masini</v>
      </c>
      <c r="AD33">
        <f>PLANURI!A$12</f>
        <v>20</v>
      </c>
      <c r="AE33">
        <f>PLANURI!B$12</f>
        <v>70</v>
      </c>
      <c r="AF33">
        <f>PLANURI!D$12</f>
        <v>10</v>
      </c>
      <c r="AG33" t="str">
        <f>PLANURI!BW475</f>
        <v>2020</v>
      </c>
    </row>
    <row r="34" spans="1:33" x14ac:dyDescent="0.2">
      <c r="A34" t="str">
        <f>PLANURI!AX476</f>
        <v>L420.19.03.D7</v>
      </c>
      <c r="B34">
        <f>PLANURI!AY476</f>
        <v>7</v>
      </c>
      <c r="C34" t="str">
        <f>PLANURI!AZ476</f>
        <v>Termotehnica</v>
      </c>
      <c r="D34">
        <f>PLANURI!BA476</f>
        <v>2</v>
      </c>
      <c r="E34" t="str">
        <f>PLANURI!BB476</f>
        <v>3</v>
      </c>
      <c r="F34" t="str">
        <f>PLANURI!BC476</f>
        <v>E</v>
      </c>
      <c r="G34" t="str">
        <f>PLANURI!BD476</f>
        <v>DI</v>
      </c>
      <c r="H34">
        <f>PLANURI!WL476</f>
        <v>0</v>
      </c>
      <c r="I34">
        <f>PLANURI!BF476</f>
        <v>2</v>
      </c>
      <c r="J34">
        <f>PLANURI!BG476</f>
        <v>2</v>
      </c>
      <c r="K34">
        <f>PLANURI!BH476</f>
        <v>0</v>
      </c>
      <c r="L34">
        <f>PLANURI!BI476</f>
        <v>28</v>
      </c>
      <c r="M34">
        <f>PLANURI!BJ476</f>
        <v>28</v>
      </c>
      <c r="N34">
        <f>PLANURI!BK476</f>
        <v>0</v>
      </c>
      <c r="O34">
        <f>PLANURI!BL476</f>
        <v>0</v>
      </c>
      <c r="P34">
        <f>PLANURI!BM476</f>
        <v>0</v>
      </c>
      <c r="Q34">
        <f>PLANURI!BN476</f>
        <v>0</v>
      </c>
      <c r="R34" t="str">
        <f>PLANURI!BO476</f>
        <v>0</v>
      </c>
      <c r="S34">
        <f>PLANURI!BP476</f>
        <v>0</v>
      </c>
      <c r="T34">
        <f>PLANURI!BQ476</f>
        <v>5.0999999999999996</v>
      </c>
      <c r="U34">
        <f>PLANURI!BR476</f>
        <v>72</v>
      </c>
      <c r="V34">
        <f>PLANURI!BS476</f>
        <v>4</v>
      </c>
      <c r="W34" t="str">
        <f>PLANURI!BT476</f>
        <v>DD</v>
      </c>
      <c r="X34">
        <f>PLANURI!BU476</f>
        <v>7.1</v>
      </c>
      <c r="Y34">
        <f>PLANURI!BV476</f>
        <v>100</v>
      </c>
      <c r="Z34" t="str">
        <f>PLANURI!A$4</f>
        <v>Facultatea de Mecanică</v>
      </c>
      <c r="AA34" t="str">
        <f>PLANURI!H$6</f>
        <v xml:space="preserve"> Ştiinţe inginereşti</v>
      </c>
      <c r="AB34">
        <f>PLANURI!C$12</f>
        <v>130</v>
      </c>
      <c r="AC34" t="str">
        <f>PLANURI!H$9</f>
        <v>Tehnologia Constructiilor de Masini</v>
      </c>
      <c r="AD34">
        <f>PLANURI!A$12</f>
        <v>20</v>
      </c>
      <c r="AE34">
        <f>PLANURI!B$12</f>
        <v>70</v>
      </c>
      <c r="AF34">
        <f>PLANURI!D$12</f>
        <v>10</v>
      </c>
      <c r="AG34" t="str">
        <f>PLANURI!BW476</f>
        <v>2020</v>
      </c>
    </row>
    <row r="35" spans="1:33" x14ac:dyDescent="0.2">
      <c r="A35" t="str">
        <f>PLANURI!AX477</f>
        <v>L420.19.03.C8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130</v>
      </c>
      <c r="AC35" t="str">
        <f>PLANURI!H$9</f>
        <v>Tehnologia Constructiilor de Masini</v>
      </c>
      <c r="AD35">
        <f>PLANURI!A$12</f>
        <v>20</v>
      </c>
      <c r="AE35">
        <f>PLANURI!B$12</f>
        <v>70</v>
      </c>
      <c r="AF35">
        <f>PLANURI!D$12</f>
        <v>10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130</v>
      </c>
      <c r="AC36" t="str">
        <f>PLANURI!H$9</f>
        <v>Tehnologia Constructiilor de Masini</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130</v>
      </c>
      <c r="AC37" t="str">
        <f>PLANURI!H$9</f>
        <v>Tehnologia Constructiilor de Masini</v>
      </c>
      <c r="AD37">
        <f>PLANURI!A$12</f>
        <v>20</v>
      </c>
      <c r="AE37">
        <f>PLANURI!B$12</f>
        <v>70</v>
      </c>
      <c r="AF37">
        <f>PLANURI!D$12</f>
        <v>10</v>
      </c>
      <c r="AG37" t="str">
        <f>PLANURI!BW479</f>
        <v/>
      </c>
    </row>
    <row r="38" spans="1:33" x14ac:dyDescent="0.2">
      <c r="A38" t="str">
        <f>PLANURI!AX480</f>
        <v>L420.19.03.11-ij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130</v>
      </c>
      <c r="AC38" t="str">
        <f>PLANURI!H$9</f>
        <v>Tehnologia Constructiilor de Masini</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130</v>
      </c>
      <c r="AC39" t="str">
        <f>PLANURI!H$9</f>
        <v>Tehnologia Constructiilor de Masini</v>
      </c>
      <c r="AD39">
        <f>PLANURI!A$12</f>
        <v>20</v>
      </c>
      <c r="AE39">
        <f>PLANURI!B$12</f>
        <v>70</v>
      </c>
      <c r="AF39">
        <f>PLANURI!D$12</f>
        <v>10</v>
      </c>
      <c r="AG39" t="str">
        <f>PLANURI!BW481</f>
        <v/>
      </c>
    </row>
    <row r="40" spans="1:33" x14ac:dyDescent="0.2">
      <c r="A40" t="str">
        <f>PLANURI!AX482</f>
        <v>L420.19.04.D1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1</v>
      </c>
      <c r="K40">
        <f>PLANURI!BH482</f>
        <v>0</v>
      </c>
      <c r="L40">
        <f>PLANURI!BI482</f>
        <v>14</v>
      </c>
      <c r="M40">
        <f>PLANURI!BJ482</f>
        <v>14</v>
      </c>
      <c r="N40">
        <f>PLANURI!BK482</f>
        <v>0</v>
      </c>
      <c r="O40">
        <f>PLANURI!BL482</f>
        <v>0</v>
      </c>
      <c r="P40">
        <f>PLANURI!BM482</f>
        <v>0</v>
      </c>
      <c r="Q40">
        <f>PLANURI!BN482</f>
        <v>0</v>
      </c>
      <c r="R40" t="str">
        <f>PLANURI!BO482</f>
        <v>0</v>
      </c>
      <c r="S40">
        <f>PLANURI!BP482</f>
        <v>0</v>
      </c>
      <c r="T40">
        <f>PLANURI!BQ482</f>
        <v>2.6</v>
      </c>
      <c r="U40">
        <f>PLANURI!BR482</f>
        <v>36</v>
      </c>
      <c r="V40">
        <f>PLANURI!BS482</f>
        <v>2</v>
      </c>
      <c r="W40" t="str">
        <f>PLANURI!BT482</f>
        <v>DD</v>
      </c>
      <c r="X40">
        <f>PLANURI!BU482</f>
        <v>3.6</v>
      </c>
      <c r="Y40">
        <f>PLANURI!BV482</f>
        <v>50</v>
      </c>
      <c r="Z40" t="str">
        <f>PLANURI!A$4</f>
        <v>Facultatea de Mecanică</v>
      </c>
      <c r="AA40" t="str">
        <f>PLANURI!H$6</f>
        <v xml:space="preserve"> Ştiinţe inginereşti</v>
      </c>
      <c r="AB40">
        <f>PLANURI!C$12</f>
        <v>130</v>
      </c>
      <c r="AC40" t="str">
        <f>PLANURI!H$9</f>
        <v>Tehnologia Constructiilor de Masini</v>
      </c>
      <c r="AD40">
        <f>PLANURI!A$12</f>
        <v>20</v>
      </c>
      <c r="AE40">
        <f>PLANURI!B$12</f>
        <v>70</v>
      </c>
      <c r="AF40">
        <f>PLANURI!D$12</f>
        <v>10</v>
      </c>
      <c r="AG40" t="str">
        <f>PLANURI!BW482</f>
        <v>2020</v>
      </c>
    </row>
    <row r="41" spans="1:33" x14ac:dyDescent="0.2">
      <c r="A41" t="str">
        <f>PLANURI!AX483</f>
        <v>L420.19.04.C2</v>
      </c>
      <c r="B41">
        <f>PLANURI!AY483</f>
        <v>2</v>
      </c>
      <c r="C41" t="str">
        <f>PLANURI!AZ483</f>
        <v>Microeconomie</v>
      </c>
      <c r="D41">
        <f>PLANURI!BA483</f>
        <v>2</v>
      </c>
      <c r="E41" t="str">
        <f>PLANURI!BB483</f>
        <v>4</v>
      </c>
      <c r="F41" t="str">
        <f>PLANURI!BC483</f>
        <v>D</v>
      </c>
      <c r="G41" t="str">
        <f>PLANURI!BD483</f>
        <v>DI</v>
      </c>
      <c r="H41">
        <f>PLANURI!BE483</f>
        <v>0</v>
      </c>
      <c r="I41">
        <f>PLANURI!BF483</f>
        <v>2</v>
      </c>
      <c r="J41">
        <f>PLANURI!BG483</f>
        <v>2</v>
      </c>
      <c r="K41">
        <f>PLANURI!BH483</f>
        <v>0</v>
      </c>
      <c r="L41">
        <f>PLANURI!BI483</f>
        <v>28</v>
      </c>
      <c r="M41">
        <f>PLANURI!BJ483</f>
        <v>28</v>
      </c>
      <c r="N41">
        <f>PLANURI!BK483</f>
        <v>0</v>
      </c>
      <c r="O41">
        <f>PLANURI!BL483</f>
        <v>0</v>
      </c>
      <c r="P41">
        <f>PLANURI!BM483</f>
        <v>0</v>
      </c>
      <c r="Q41">
        <f>PLANURI!BN483</f>
        <v>0</v>
      </c>
      <c r="R41" t="str">
        <f>PLANURI!BO483</f>
        <v>0</v>
      </c>
      <c r="S41">
        <f>PLANURI!BP483</f>
        <v>0</v>
      </c>
      <c r="T41">
        <f>PLANURI!BQ483</f>
        <v>5.0999999999999996</v>
      </c>
      <c r="U41">
        <f>PLANURI!BR483</f>
        <v>72</v>
      </c>
      <c r="V41">
        <f>PLANURI!BS483</f>
        <v>4</v>
      </c>
      <c r="W41" t="str">
        <f>PLANURI!BT483</f>
        <v>DC</v>
      </c>
      <c r="X41">
        <f>PLANURI!BU483</f>
        <v>7.1</v>
      </c>
      <c r="Y41">
        <f>PLANURI!BV483</f>
        <v>100</v>
      </c>
      <c r="Z41" t="str">
        <f>PLANURI!A$4</f>
        <v>Facultatea de Mecanică</v>
      </c>
      <c r="AA41" t="str">
        <f>PLANURI!H$6</f>
        <v xml:space="preserve"> Ştiinţe inginereşti</v>
      </c>
      <c r="AB41">
        <f>PLANURI!C$12</f>
        <v>130</v>
      </c>
      <c r="AC41" t="str">
        <f>PLANURI!H$9</f>
        <v>Tehnologia Constructiilor de Masini</v>
      </c>
      <c r="AD41">
        <f>PLANURI!A$12</f>
        <v>20</v>
      </c>
      <c r="AE41">
        <f>PLANURI!B$12</f>
        <v>70</v>
      </c>
      <c r="AF41">
        <f>PLANURI!D$12</f>
        <v>10</v>
      </c>
      <c r="AG41" t="str">
        <f>PLANURI!BW483</f>
        <v>2020</v>
      </c>
    </row>
    <row r="42" spans="1:33" x14ac:dyDescent="0.2">
      <c r="A42" t="str">
        <f>PLANURI!AX484</f>
        <v>L420.19.04.D3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3</v>
      </c>
      <c r="K42">
        <f>PLANURI!BH484</f>
        <v>0</v>
      </c>
      <c r="L42">
        <f>PLANURI!BI484</f>
        <v>42</v>
      </c>
      <c r="M42">
        <f>PLANURI!BJ484</f>
        <v>42</v>
      </c>
      <c r="N42">
        <f>PLANURI!BK484</f>
        <v>0</v>
      </c>
      <c r="O42">
        <f>PLANURI!BL484</f>
        <v>0</v>
      </c>
      <c r="P42">
        <f>PLANURI!BM484</f>
        <v>0</v>
      </c>
      <c r="Q42">
        <f>PLANURI!BN484</f>
        <v>0</v>
      </c>
      <c r="R42" t="str">
        <f>PLANURI!BO484</f>
        <v>0</v>
      </c>
      <c r="S42">
        <f>PLANURI!BP484</f>
        <v>0</v>
      </c>
      <c r="T42">
        <f>PLANURI!BQ484</f>
        <v>5.9</v>
      </c>
      <c r="U42">
        <f>PLANURI!BR484</f>
        <v>83</v>
      </c>
      <c r="V42">
        <f>PLANURI!BS484</f>
        <v>5</v>
      </c>
      <c r="W42" t="str">
        <f>PLANURI!BT484</f>
        <v>DD</v>
      </c>
      <c r="X42">
        <f>PLANURI!BU484</f>
        <v>8.9</v>
      </c>
      <c r="Y42">
        <f>PLANURI!BV484</f>
        <v>125</v>
      </c>
      <c r="Z42" t="str">
        <f>PLANURI!A$4</f>
        <v>Facultatea de Mecanică</v>
      </c>
      <c r="AA42" t="str">
        <f>PLANURI!H$6</f>
        <v xml:space="preserve"> Ştiinţe inginereşti</v>
      </c>
      <c r="AB42">
        <f>PLANURI!C$12</f>
        <v>130</v>
      </c>
      <c r="AC42" t="str">
        <f>PLANURI!H$9</f>
        <v>Tehnologia Constructiilor de Masini</v>
      </c>
      <c r="AD42">
        <f>PLANURI!A$12</f>
        <v>20</v>
      </c>
      <c r="AE42">
        <f>PLANURI!B$12</f>
        <v>70</v>
      </c>
      <c r="AF42">
        <f>PLANURI!D$12</f>
        <v>10</v>
      </c>
      <c r="AG42" t="str">
        <f>PLANURI!BW484</f>
        <v>2020</v>
      </c>
    </row>
    <row r="43" spans="1:33" x14ac:dyDescent="0.2">
      <c r="A43" t="str">
        <f>PLANURI!AX485</f>
        <v>L420.19.04.D4</v>
      </c>
      <c r="B43">
        <f>PLANURI!AY485</f>
        <v>4</v>
      </c>
      <c r="C43" t="str">
        <f>PLANURI!AZ485</f>
        <v>Măsurări</v>
      </c>
      <c r="D43">
        <f>PLANURI!BA485</f>
        <v>2</v>
      </c>
      <c r="E43" t="str">
        <f>PLANURI!BB485</f>
        <v>4</v>
      </c>
      <c r="F43" t="str">
        <f>PLANURI!BC485</f>
        <v>D</v>
      </c>
      <c r="G43" t="str">
        <f>PLANURI!BD485</f>
        <v>DI</v>
      </c>
      <c r="H43">
        <f>PLANURI!BE485</f>
        <v>0</v>
      </c>
      <c r="I43">
        <f>PLANURI!BF485</f>
        <v>1</v>
      </c>
      <c r="J43">
        <f>PLANURI!BG485</f>
        <v>1</v>
      </c>
      <c r="K43">
        <f>PLANURI!BH485</f>
        <v>0</v>
      </c>
      <c r="L43">
        <f>PLANURI!BI485</f>
        <v>14</v>
      </c>
      <c r="M43">
        <f>PLANURI!BJ485</f>
        <v>14</v>
      </c>
      <c r="N43">
        <f>PLANURI!BK485</f>
        <v>0</v>
      </c>
      <c r="O43">
        <f>PLANURI!BL485</f>
        <v>0</v>
      </c>
      <c r="P43">
        <f>PLANURI!BM485</f>
        <v>0</v>
      </c>
      <c r="Q43">
        <f>PLANURI!BN485</f>
        <v>0</v>
      </c>
      <c r="R43" t="str">
        <f>PLANURI!BO485</f>
        <v>0</v>
      </c>
      <c r="S43">
        <f>PLANURI!BP485</f>
        <v>0</v>
      </c>
      <c r="T43">
        <f>PLANURI!BQ485</f>
        <v>4.4000000000000004</v>
      </c>
      <c r="U43">
        <f>PLANURI!BR485</f>
        <v>61</v>
      </c>
      <c r="V43">
        <f>PLANURI!BS485</f>
        <v>3</v>
      </c>
      <c r="W43" t="str">
        <f>PLANURI!BT485</f>
        <v>DD</v>
      </c>
      <c r="X43">
        <f>PLANURI!BU485</f>
        <v>5.4</v>
      </c>
      <c r="Y43">
        <f>PLANURI!BV485</f>
        <v>75</v>
      </c>
      <c r="Z43" t="str">
        <f>PLANURI!A$4</f>
        <v>Facultatea de Mecanică</v>
      </c>
      <c r="AA43" t="str">
        <f>PLANURI!H$6</f>
        <v xml:space="preserve"> Ştiinţe inginereşti</v>
      </c>
      <c r="AB43">
        <f>PLANURI!C$12</f>
        <v>130</v>
      </c>
      <c r="AC43" t="str">
        <f>PLANURI!H$9</f>
        <v>Tehnologia Constructiilor de Masini</v>
      </c>
      <c r="AD43">
        <f>PLANURI!A$12</f>
        <v>20</v>
      </c>
      <c r="AE43">
        <f>PLANURI!B$12</f>
        <v>70</v>
      </c>
      <c r="AF43">
        <f>PLANURI!D$12</f>
        <v>10</v>
      </c>
      <c r="AG43" t="str">
        <f>PLANURI!BW485</f>
        <v>2020</v>
      </c>
    </row>
    <row r="44" spans="1:33" x14ac:dyDescent="0.2">
      <c r="A44" t="str">
        <f>PLANURI!AX486</f>
        <v>L420.19.04.D5</v>
      </c>
      <c r="B44">
        <f>PLANURI!AY486</f>
        <v>5</v>
      </c>
      <c r="C44" t="str">
        <f>PLANURI!AZ486</f>
        <v>Bazele proceselor de asamblare</v>
      </c>
      <c r="D44">
        <f>PLANURI!BA486</f>
        <v>2</v>
      </c>
      <c r="E44" t="str">
        <f>PLANURI!BB486</f>
        <v>4</v>
      </c>
      <c r="F44" t="str">
        <f>PLANURI!BC486</f>
        <v>E</v>
      </c>
      <c r="G44" t="str">
        <f>PLANURI!BD486</f>
        <v>DI</v>
      </c>
      <c r="H44">
        <f>PLANURI!WL486</f>
        <v>0</v>
      </c>
      <c r="I44">
        <f>PLANURI!BF486</f>
        <v>2</v>
      </c>
      <c r="J44">
        <f>PLANURI!BG486</f>
        <v>2</v>
      </c>
      <c r="K44">
        <f>PLANURI!BH486</f>
        <v>0</v>
      </c>
      <c r="L44">
        <f>PLANURI!BI486</f>
        <v>28</v>
      </c>
      <c r="M44">
        <f>PLANURI!BJ486</f>
        <v>28</v>
      </c>
      <c r="N44">
        <f>PLANURI!BK486</f>
        <v>0</v>
      </c>
      <c r="O44">
        <f>PLANURI!BL486</f>
        <v>0</v>
      </c>
      <c r="P44">
        <f>PLANURI!BM486</f>
        <v>0</v>
      </c>
      <c r="Q44">
        <f>PLANURI!BN486</f>
        <v>0</v>
      </c>
      <c r="R44" t="str">
        <f>PLANURI!BO486</f>
        <v>0</v>
      </c>
      <c r="S44">
        <f>PLANURI!BP486</f>
        <v>0</v>
      </c>
      <c r="T44">
        <f>PLANURI!BQ486</f>
        <v>6.9</v>
      </c>
      <c r="U44">
        <f>PLANURI!BR486</f>
        <v>97</v>
      </c>
      <c r="V44">
        <f>PLANURI!BS486</f>
        <v>5</v>
      </c>
      <c r="W44" t="str">
        <f>PLANURI!BT486</f>
        <v>DD</v>
      </c>
      <c r="X44">
        <f>PLANURI!BU486</f>
        <v>8.9</v>
      </c>
      <c r="Y44">
        <f>PLANURI!BV486</f>
        <v>125</v>
      </c>
      <c r="Z44" t="str">
        <f>PLANURI!A$4</f>
        <v>Facultatea de Mecanică</v>
      </c>
      <c r="AA44" t="str">
        <f>PLANURI!H$6</f>
        <v xml:space="preserve"> Ştiinţe inginereşti</v>
      </c>
      <c r="AB44">
        <f>PLANURI!C$12</f>
        <v>130</v>
      </c>
      <c r="AC44" t="str">
        <f>PLANURI!H$9</f>
        <v>Tehnologia Constructiilor de Masini</v>
      </c>
      <c r="AD44">
        <f>PLANURI!A$12</f>
        <v>20</v>
      </c>
      <c r="AE44">
        <f>PLANURI!B$12</f>
        <v>70</v>
      </c>
      <c r="AF44">
        <f>PLANURI!D$12</f>
        <v>10</v>
      </c>
      <c r="AG44" t="str">
        <f>PLANURI!BW486</f>
        <v>2020</v>
      </c>
    </row>
    <row r="45" spans="1:33" x14ac:dyDescent="0.2">
      <c r="A45" t="str">
        <f>PLANURI!AX487</f>
        <v>L420.19.04.D6</v>
      </c>
      <c r="B45">
        <f>PLANURI!AY487</f>
        <v>6</v>
      </c>
      <c r="C45" t="str">
        <f>PLANURI!AZ487</f>
        <v>Bazele procesării materialelor polimerice</v>
      </c>
      <c r="D45">
        <f>PLANURI!BA487</f>
        <v>2</v>
      </c>
      <c r="E45" t="str">
        <f>PLANURI!BB487</f>
        <v>4</v>
      </c>
      <c r="F45" t="str">
        <f>PLANURI!BC487</f>
        <v>E</v>
      </c>
      <c r="G45" t="str">
        <f>PLANURI!BD487</f>
        <v>DI</v>
      </c>
      <c r="H45">
        <f>PLANURI!BE487</f>
        <v>0</v>
      </c>
      <c r="I45">
        <f>PLANURI!BF487</f>
        <v>1</v>
      </c>
      <c r="J45">
        <f>PLANURI!BG487</f>
        <v>1</v>
      </c>
      <c r="K45">
        <f>PLANURI!BH487</f>
        <v>0</v>
      </c>
      <c r="L45">
        <f>PLANURI!BI487</f>
        <v>14</v>
      </c>
      <c r="M45">
        <f>PLANURI!BJ487</f>
        <v>14</v>
      </c>
      <c r="N45">
        <f>PLANURI!BK487</f>
        <v>0</v>
      </c>
      <c r="O45">
        <f>PLANURI!BL487</f>
        <v>0</v>
      </c>
      <c r="P45">
        <f>PLANURI!BM487</f>
        <v>0</v>
      </c>
      <c r="Q45">
        <f>PLANURI!BN487</f>
        <v>0</v>
      </c>
      <c r="R45" t="str">
        <f>PLANURI!BO487</f>
        <v>0</v>
      </c>
      <c r="S45">
        <f>PLANURI!BP487</f>
        <v>0</v>
      </c>
      <c r="T45">
        <f>PLANURI!BQ487</f>
        <v>7.9</v>
      </c>
      <c r="U45">
        <f>PLANURI!BR487</f>
        <v>111</v>
      </c>
      <c r="V45">
        <f>PLANURI!BS487</f>
        <v>5</v>
      </c>
      <c r="W45" t="str">
        <f>PLANURI!BT487</f>
        <v>DD</v>
      </c>
      <c r="X45">
        <f>PLANURI!BU487</f>
        <v>8.9</v>
      </c>
      <c r="Y45">
        <f>PLANURI!BV487</f>
        <v>125</v>
      </c>
      <c r="Z45" t="str">
        <f>PLANURI!A$4</f>
        <v>Facultatea de Mecanică</v>
      </c>
      <c r="AA45" t="str">
        <f>PLANURI!H$6</f>
        <v xml:space="preserve"> Ştiinţe inginereşti</v>
      </c>
      <c r="AB45">
        <f>PLANURI!C$12</f>
        <v>130</v>
      </c>
      <c r="AC45" t="str">
        <f>PLANURI!H$9</f>
        <v>Tehnologia Constructiilor de Masini</v>
      </c>
      <c r="AD45">
        <f>PLANURI!A$12</f>
        <v>20</v>
      </c>
      <c r="AE45">
        <f>PLANURI!B$12</f>
        <v>70</v>
      </c>
      <c r="AF45">
        <f>PLANURI!D$12</f>
        <v>10</v>
      </c>
      <c r="AG45" t="str">
        <f>PLANURI!BW487</f>
        <v>2020</v>
      </c>
    </row>
    <row r="46" spans="1:33" x14ac:dyDescent="0.2">
      <c r="A46" t="str">
        <f>PLANURI!AX488</f>
        <v>L420.19.04.D7</v>
      </c>
      <c r="B46">
        <f>PLANURI!AY488</f>
        <v>7</v>
      </c>
      <c r="C46" t="str">
        <f>PLANURI!AZ488</f>
        <v xml:space="preserve">Mecanisme </v>
      </c>
      <c r="D46">
        <f>PLANURI!BA488</f>
        <v>2</v>
      </c>
      <c r="E46" t="str">
        <f>PLANURI!BB488</f>
        <v>4</v>
      </c>
      <c r="F46" t="str">
        <f>PLANURI!BC488</f>
        <v>E</v>
      </c>
      <c r="G46" t="str">
        <f>PLANURI!BD488</f>
        <v>DI</v>
      </c>
      <c r="H46">
        <f>PLANURI!WL488</f>
        <v>0</v>
      </c>
      <c r="I46">
        <f>PLANURI!BF488</f>
        <v>2</v>
      </c>
      <c r="J46">
        <f>PLANURI!BG488</f>
        <v>2</v>
      </c>
      <c r="K46">
        <f>PLANURI!BH488</f>
        <v>0</v>
      </c>
      <c r="L46">
        <f>PLANURI!BI488</f>
        <v>28</v>
      </c>
      <c r="M46">
        <f>PLANURI!BJ488</f>
        <v>28</v>
      </c>
      <c r="N46">
        <f>PLANURI!BK488</f>
        <v>0</v>
      </c>
      <c r="O46">
        <f>PLANURI!BL488</f>
        <v>0</v>
      </c>
      <c r="P46">
        <f>PLANURI!BM488</f>
        <v>0</v>
      </c>
      <c r="Q46">
        <f>PLANURI!BN488</f>
        <v>0</v>
      </c>
      <c r="R46" t="str">
        <f>PLANURI!BO488</f>
        <v>0</v>
      </c>
      <c r="S46">
        <f>PLANURI!BP488</f>
        <v>0</v>
      </c>
      <c r="T46">
        <f>PLANURI!BQ488</f>
        <v>3.4</v>
      </c>
      <c r="U46">
        <f>PLANURI!BR488</f>
        <v>47</v>
      </c>
      <c r="V46">
        <f>PLANURI!BS488</f>
        <v>3</v>
      </c>
      <c r="W46" t="str">
        <f>PLANURI!BT488</f>
        <v>DD</v>
      </c>
      <c r="X46">
        <f>PLANURI!BU488</f>
        <v>5.4</v>
      </c>
      <c r="Y46">
        <f>PLANURI!BV488</f>
        <v>75</v>
      </c>
      <c r="Z46" t="str">
        <f>PLANURI!A$4</f>
        <v>Facultatea de Mecanică</v>
      </c>
      <c r="AA46" t="str">
        <f>PLANURI!H$6</f>
        <v xml:space="preserve"> Ştiinţe inginereşti</v>
      </c>
      <c r="AB46">
        <f>PLANURI!C$12</f>
        <v>130</v>
      </c>
      <c r="AC46" t="str">
        <f>PLANURI!H$9</f>
        <v>Tehnologia Constructiilor de Masini</v>
      </c>
      <c r="AD46">
        <f>PLANURI!A$12</f>
        <v>20</v>
      </c>
      <c r="AE46">
        <f>PLANURI!B$12</f>
        <v>70</v>
      </c>
      <c r="AF46">
        <f>PLANURI!D$12</f>
        <v>10</v>
      </c>
      <c r="AG46" t="str">
        <f>PLANURI!BW488</f>
        <v>2020</v>
      </c>
    </row>
    <row r="47" spans="1:33" x14ac:dyDescent="0.2">
      <c r="A47" t="str">
        <f>PLANURI!AX489</f>
        <v>L420.19.04.C8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130</v>
      </c>
      <c r="AC47" t="str">
        <f>PLANURI!H$9</f>
        <v>Tehnologia Constructiilor de Masini</v>
      </c>
      <c r="AD47">
        <f>PLANURI!A$12</f>
        <v>20</v>
      </c>
      <c r="AE47">
        <f>PLANURI!B$12</f>
        <v>70</v>
      </c>
      <c r="AF47">
        <f>PLANURI!D$12</f>
        <v>10</v>
      </c>
      <c r="AG47" t="str">
        <f>PLANURI!BW489</f>
        <v>2020</v>
      </c>
    </row>
    <row r="48" spans="1:33" x14ac:dyDescent="0.2">
      <c r="A48" t="str">
        <f>PLANURI!AX490</f>
        <v>L420.19.04.D9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130</v>
      </c>
      <c r="AC48" t="str">
        <f>PLANURI!H$9</f>
        <v>Tehnologia Constructiilor de Masini</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130</v>
      </c>
      <c r="AC49" t="str">
        <f>PLANURI!H$9</f>
        <v>Tehnologia Constructiilor de Masini</v>
      </c>
      <c r="AD49">
        <f>PLANURI!A$12</f>
        <v>20</v>
      </c>
      <c r="AE49">
        <f>PLANURI!B$12</f>
        <v>70</v>
      </c>
      <c r="AF49">
        <f>PLANURI!D$12</f>
        <v>10</v>
      </c>
      <c r="AG49" t="str">
        <f>PLANURI!BW491</f>
        <v/>
      </c>
    </row>
    <row r="50" spans="1:33" x14ac:dyDescent="0.2">
      <c r="A50" t="str">
        <f>PLANURI!AX492</f>
        <v>L420.19.04.11-ij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130</v>
      </c>
      <c r="AC50" t="str">
        <f>PLANURI!H$9</f>
        <v>Tehnologia Constructiilor de Masini</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130</v>
      </c>
      <c r="AC51" t="str">
        <f>PLANURI!H$9</f>
        <v>Tehnologia Constructiilor de Masini</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130</v>
      </c>
      <c r="AC52" t="str">
        <f>PLANURI!H$9</f>
        <v>Tehnologia Constructiilor de Masini</v>
      </c>
      <c r="AD52">
        <f>PLANURI!A$12</f>
        <v>20</v>
      </c>
      <c r="AE52">
        <f>PLANURI!B$12</f>
        <v>70</v>
      </c>
      <c r="AF52">
        <f>PLANURI!D$12</f>
        <v>10</v>
      </c>
      <c r="AG52" t="e">
        <f>PLANURI!BW494</f>
        <v>#VALUE!</v>
      </c>
    </row>
    <row r="53" spans="1:33" x14ac:dyDescent="0.2">
      <c r="A53" t="str">
        <f>PLANURI!AX495</f>
        <v>L420.19.05.C1</v>
      </c>
      <c r="B53">
        <f>PLANURI!AY495</f>
        <v>1</v>
      </c>
      <c r="C53" t="str">
        <f>PLANURI!AZ495</f>
        <v>Management</v>
      </c>
      <c r="D53">
        <f>PLANURI!BA495</f>
        <v>3</v>
      </c>
      <c r="E53" t="str">
        <f>PLANURI!BB495</f>
        <v>5</v>
      </c>
      <c r="F53" t="str">
        <f>PLANURI!BC495</f>
        <v>D</v>
      </c>
      <c r="G53" t="str">
        <f>PLANURI!BD495</f>
        <v>DI</v>
      </c>
      <c r="H53">
        <f>PLANURI!BE495</f>
        <v>0</v>
      </c>
      <c r="I53">
        <f>PLANURI!BF495</f>
        <v>1</v>
      </c>
      <c r="J53">
        <f>PLANURI!BG495</f>
        <v>1</v>
      </c>
      <c r="K53">
        <f>PLANURI!BH495</f>
        <v>0</v>
      </c>
      <c r="L53">
        <f>PLANURI!BI495</f>
        <v>14</v>
      </c>
      <c r="M53">
        <f>PLANURI!BJ495</f>
        <v>14</v>
      </c>
      <c r="N53">
        <f>PLANURI!BK495</f>
        <v>0</v>
      </c>
      <c r="O53">
        <f>PLANURI!BL495</f>
        <v>0</v>
      </c>
      <c r="P53">
        <f>PLANURI!BM495</f>
        <v>0</v>
      </c>
      <c r="Q53">
        <f>PLANURI!BN495</f>
        <v>0</v>
      </c>
      <c r="R53" t="str">
        <f>PLANURI!BO495</f>
        <v>0</v>
      </c>
      <c r="S53">
        <f>PLANURI!BP495</f>
        <v>0</v>
      </c>
      <c r="T53">
        <f>PLANURI!BQ495</f>
        <v>2.6</v>
      </c>
      <c r="U53">
        <f>PLANURI!BR495</f>
        <v>36</v>
      </c>
      <c r="V53">
        <f>PLANURI!BS495</f>
        <v>2</v>
      </c>
      <c r="W53" t="str">
        <f>PLANURI!BT495</f>
        <v>DC</v>
      </c>
      <c r="X53">
        <f>PLANURI!BU495</f>
        <v>3.6</v>
      </c>
      <c r="Y53">
        <f>PLANURI!BV495</f>
        <v>50</v>
      </c>
      <c r="Z53" t="str">
        <f>PLANURI!A$4</f>
        <v>Facultatea de Mecanică</v>
      </c>
      <c r="AA53" t="str">
        <f>PLANURI!H$6</f>
        <v xml:space="preserve"> Ştiinţe inginereşti</v>
      </c>
      <c r="AB53">
        <f>PLANURI!C$12</f>
        <v>130</v>
      </c>
      <c r="AC53" t="str">
        <f>PLANURI!H$9</f>
        <v>Tehnologia Constructiilor de Masini</v>
      </c>
      <c r="AD53">
        <f>PLANURI!A$12</f>
        <v>20</v>
      </c>
      <c r="AE53">
        <f>PLANURI!B$12</f>
        <v>70</v>
      </c>
      <c r="AF53">
        <f>PLANURI!D$12</f>
        <v>10</v>
      </c>
      <c r="AG53" t="str">
        <f>PLANURI!BW495</f>
        <v>2021</v>
      </c>
    </row>
    <row r="54" spans="1:33" x14ac:dyDescent="0.2">
      <c r="A54" t="str">
        <f>PLANURI!AX496</f>
        <v>L420.19.05.D2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1</v>
      </c>
      <c r="K54">
        <f>PLANURI!BH496</f>
        <v>0</v>
      </c>
      <c r="L54">
        <f>PLANURI!BI496</f>
        <v>14</v>
      </c>
      <c r="M54">
        <f>PLANURI!BJ496</f>
        <v>14</v>
      </c>
      <c r="N54">
        <f>PLANURI!BK496</f>
        <v>0</v>
      </c>
      <c r="O54">
        <f>PLANURI!BL496</f>
        <v>0</v>
      </c>
      <c r="P54">
        <f>PLANURI!BM496</f>
        <v>0</v>
      </c>
      <c r="Q54">
        <f>PLANURI!BN496</f>
        <v>0</v>
      </c>
      <c r="R54" t="str">
        <f>PLANURI!BO496</f>
        <v>0</v>
      </c>
      <c r="S54">
        <f>PLANURI!BP496</f>
        <v>0</v>
      </c>
      <c r="T54">
        <f>PLANURI!BQ496</f>
        <v>4.4000000000000004</v>
      </c>
      <c r="U54">
        <f>PLANURI!BR496</f>
        <v>61</v>
      </c>
      <c r="V54">
        <f>PLANURI!BS496</f>
        <v>3</v>
      </c>
      <c r="W54" t="str">
        <f>PLANURI!BT496</f>
        <v>DD</v>
      </c>
      <c r="X54">
        <f>PLANURI!BU496</f>
        <v>5.4</v>
      </c>
      <c r="Y54">
        <f>PLANURI!BV496</f>
        <v>75</v>
      </c>
      <c r="Z54" t="str">
        <f>PLANURI!A$4</f>
        <v>Facultatea de Mecanică</v>
      </c>
      <c r="AA54" t="str">
        <f>PLANURI!H$6</f>
        <v xml:space="preserve"> Ştiinţe inginereşti</v>
      </c>
      <c r="AB54">
        <f>PLANURI!C$12</f>
        <v>130</v>
      </c>
      <c r="AC54" t="str">
        <f>PLANURI!H$9</f>
        <v>Tehnologia Constructiilor de Masini</v>
      </c>
      <c r="AD54">
        <f>PLANURI!A$12</f>
        <v>20</v>
      </c>
      <c r="AE54">
        <f>PLANURI!B$12</f>
        <v>70</v>
      </c>
      <c r="AF54">
        <f>PLANURI!D$12</f>
        <v>10</v>
      </c>
      <c r="AG54" t="str">
        <f>PLANURI!BW496</f>
        <v>2021</v>
      </c>
    </row>
    <row r="55" spans="1:33" x14ac:dyDescent="0.2">
      <c r="A55" t="str">
        <f>PLANURI!AX497</f>
        <v>L420.19.05.D3</v>
      </c>
      <c r="B55">
        <f>PLANURI!AY497</f>
        <v>3</v>
      </c>
      <c r="C55" t="str">
        <f>PLANURI!AZ497</f>
        <v>Acţionări şi comenzi pneumatice  şi hidraulice</v>
      </c>
      <c r="D55">
        <f>PLANURI!BA497</f>
        <v>3</v>
      </c>
      <c r="E55" t="str">
        <f>PLANURI!BB497</f>
        <v>5</v>
      </c>
      <c r="F55" t="str">
        <f>PLANURI!BC497</f>
        <v>E</v>
      </c>
      <c r="G55" t="str">
        <f>PLANURI!BD497</f>
        <v>DI</v>
      </c>
      <c r="H55">
        <f>PLANURI!BE497</f>
        <v>0</v>
      </c>
      <c r="I55">
        <f>PLANURI!BF497</f>
        <v>3</v>
      </c>
      <c r="J55">
        <f>PLANURI!BG497</f>
        <v>3</v>
      </c>
      <c r="K55">
        <f>PLANURI!BH497</f>
        <v>0</v>
      </c>
      <c r="L55">
        <f>PLANURI!BI497</f>
        <v>42</v>
      </c>
      <c r="M55">
        <f>PLANURI!BJ497</f>
        <v>42</v>
      </c>
      <c r="N55">
        <f>PLANURI!BK497</f>
        <v>0</v>
      </c>
      <c r="O55">
        <f>PLANURI!BL497</f>
        <v>0</v>
      </c>
      <c r="P55">
        <f>PLANURI!BM497</f>
        <v>0</v>
      </c>
      <c r="Q55">
        <f>PLANURI!BN497</f>
        <v>0</v>
      </c>
      <c r="R55" t="str">
        <f>PLANURI!BO497</f>
        <v>0</v>
      </c>
      <c r="S55">
        <f>PLANURI!BP497</f>
        <v>0</v>
      </c>
      <c r="T55">
        <f>PLANURI!BQ497</f>
        <v>7.7</v>
      </c>
      <c r="U55">
        <f>PLANURI!BR497</f>
        <v>108</v>
      </c>
      <c r="V55">
        <f>PLANURI!BS497</f>
        <v>6</v>
      </c>
      <c r="W55" t="str">
        <f>PLANURI!BT497</f>
        <v>DD</v>
      </c>
      <c r="X55">
        <f>PLANURI!BU497</f>
        <v>10.7</v>
      </c>
      <c r="Y55">
        <f>PLANURI!BV497</f>
        <v>150</v>
      </c>
      <c r="Z55" t="str">
        <f>PLANURI!A$4</f>
        <v>Facultatea de Mecanică</v>
      </c>
      <c r="AA55" t="str">
        <f>PLANURI!H$6</f>
        <v xml:space="preserve"> Ştiinţe inginereşti</v>
      </c>
      <c r="AB55">
        <f>PLANURI!C$12</f>
        <v>130</v>
      </c>
      <c r="AC55" t="str">
        <f>PLANURI!H$9</f>
        <v>Tehnologia Constructiilor de Masini</v>
      </c>
      <c r="AD55">
        <f>PLANURI!A$12</f>
        <v>20</v>
      </c>
      <c r="AE55">
        <f>PLANURI!B$12</f>
        <v>70</v>
      </c>
      <c r="AF55">
        <f>PLANURI!D$12</f>
        <v>10</v>
      </c>
      <c r="AG55" t="str">
        <f>PLANURI!BW497</f>
        <v>2021</v>
      </c>
    </row>
    <row r="56" spans="1:33" x14ac:dyDescent="0.2">
      <c r="A56" t="str">
        <f>PLANURI!AX498</f>
        <v>L420.19.05.D4</v>
      </c>
      <c r="B56">
        <f>PLANURI!AY498</f>
        <v>4</v>
      </c>
      <c r="C56" t="str">
        <f>PLANURI!AZ498</f>
        <v>Tratamente termice</v>
      </c>
      <c r="D56">
        <f>PLANURI!BA498</f>
        <v>3</v>
      </c>
      <c r="E56" t="str">
        <f>PLANURI!BB498</f>
        <v>5</v>
      </c>
      <c r="F56" t="str">
        <f>PLANURI!BC498</f>
        <v>E</v>
      </c>
      <c r="G56" t="str">
        <f>PLANURI!BD498</f>
        <v>DI</v>
      </c>
      <c r="H56">
        <f>PLANURI!WL498</f>
        <v>0</v>
      </c>
      <c r="I56">
        <f>PLANURI!BF498</f>
        <v>1</v>
      </c>
      <c r="J56">
        <f>PLANURI!BG498</f>
        <v>1</v>
      </c>
      <c r="K56">
        <f>PLANURI!BH498</f>
        <v>0</v>
      </c>
      <c r="L56">
        <f>PLANURI!BI498</f>
        <v>14</v>
      </c>
      <c r="M56">
        <f>PLANURI!BJ498</f>
        <v>14</v>
      </c>
      <c r="N56">
        <f>PLANURI!BK498</f>
        <v>0</v>
      </c>
      <c r="O56">
        <f>PLANURI!BL498</f>
        <v>0</v>
      </c>
      <c r="P56">
        <f>PLANURI!BM498</f>
        <v>0</v>
      </c>
      <c r="Q56">
        <f>PLANURI!BN498</f>
        <v>0</v>
      </c>
      <c r="R56" t="str">
        <f>PLANURI!BO498</f>
        <v>0</v>
      </c>
      <c r="S56">
        <f>PLANURI!BP498</f>
        <v>0</v>
      </c>
      <c r="T56">
        <f>PLANURI!BQ498</f>
        <v>4.4000000000000004</v>
      </c>
      <c r="U56">
        <f>PLANURI!BR498</f>
        <v>61</v>
      </c>
      <c r="V56">
        <f>PLANURI!BS498</f>
        <v>3</v>
      </c>
      <c r="W56" t="str">
        <f>PLANURI!BT498</f>
        <v>DD</v>
      </c>
      <c r="X56">
        <f>PLANURI!BU498</f>
        <v>5.4</v>
      </c>
      <c r="Y56">
        <f>PLANURI!BV498</f>
        <v>75</v>
      </c>
      <c r="Z56" t="str">
        <f>PLANURI!A$4</f>
        <v>Facultatea de Mecanică</v>
      </c>
      <c r="AA56" t="str">
        <f>PLANURI!H$6</f>
        <v xml:space="preserve"> Ştiinţe inginereşti</v>
      </c>
      <c r="AB56">
        <f>PLANURI!C$12</f>
        <v>130</v>
      </c>
      <c r="AC56" t="str">
        <f>PLANURI!H$9</f>
        <v>Tehnologia Constructiilor de Masini</v>
      </c>
      <c r="AD56">
        <f>PLANURI!A$12</f>
        <v>20</v>
      </c>
      <c r="AE56">
        <f>PLANURI!B$12</f>
        <v>70</v>
      </c>
      <c r="AF56">
        <f>PLANURI!D$12</f>
        <v>10</v>
      </c>
      <c r="AG56" t="str">
        <f>PLANURI!BW498</f>
        <v>2021</v>
      </c>
    </row>
    <row r="57" spans="1:33" x14ac:dyDescent="0.2">
      <c r="A57" t="str">
        <f>PLANURI!AX499</f>
        <v>L420.19.05.S5</v>
      </c>
      <c r="B57">
        <f>PLANURI!AY499</f>
        <v>5</v>
      </c>
      <c r="C57" t="str">
        <f>PLANURI!AZ499</f>
        <v>Bazele proceselor de fabricatie</v>
      </c>
      <c r="D57">
        <f>PLANURI!BA499</f>
        <v>3</v>
      </c>
      <c r="E57" t="str">
        <f>PLANURI!BB499</f>
        <v>5</v>
      </c>
      <c r="F57" t="str">
        <f>PLANURI!BC499</f>
        <v>E</v>
      </c>
      <c r="G57" t="str">
        <f>PLANURI!BD499</f>
        <v>DI</v>
      </c>
      <c r="H57">
        <f>PLANURI!BE499</f>
        <v>0</v>
      </c>
      <c r="I57">
        <f>PLANURI!BF499</f>
        <v>3</v>
      </c>
      <c r="J57">
        <f>PLANURI!BG499</f>
        <v>3</v>
      </c>
      <c r="K57">
        <f>PLANURI!BH499</f>
        <v>0</v>
      </c>
      <c r="L57">
        <f>PLANURI!BI499</f>
        <v>42</v>
      </c>
      <c r="M57">
        <f>PLANURI!BJ499</f>
        <v>42</v>
      </c>
      <c r="N57">
        <f>PLANURI!BK499</f>
        <v>0</v>
      </c>
      <c r="O57">
        <f>PLANURI!BL499</f>
        <v>0</v>
      </c>
      <c r="P57">
        <f>PLANURI!BM499</f>
        <v>0</v>
      </c>
      <c r="Q57">
        <f>PLANURI!BN499</f>
        <v>0</v>
      </c>
      <c r="R57" t="str">
        <f>PLANURI!BO499</f>
        <v>0</v>
      </c>
      <c r="S57">
        <f>PLANURI!BP499</f>
        <v>0</v>
      </c>
      <c r="T57">
        <f>PLANURI!BQ499</f>
        <v>7.7</v>
      </c>
      <c r="U57">
        <f>PLANURI!BR499</f>
        <v>108</v>
      </c>
      <c r="V57">
        <f>PLANURI!BS499</f>
        <v>6</v>
      </c>
      <c r="W57" t="str">
        <f>PLANURI!BT499</f>
        <v>DS</v>
      </c>
      <c r="X57">
        <f>PLANURI!BU499</f>
        <v>10.7</v>
      </c>
      <c r="Y57">
        <f>PLANURI!BV499</f>
        <v>150</v>
      </c>
      <c r="Z57" t="str">
        <f>PLANURI!A$4</f>
        <v>Facultatea de Mecanică</v>
      </c>
      <c r="AA57" t="str">
        <f>PLANURI!H$6</f>
        <v xml:space="preserve"> Ştiinţe inginereşti</v>
      </c>
      <c r="AB57">
        <f>PLANURI!C$12</f>
        <v>130</v>
      </c>
      <c r="AC57" t="str">
        <f>PLANURI!H$9</f>
        <v>Tehnologia Constructiilor de Masini</v>
      </c>
      <c r="AD57">
        <f>PLANURI!A$12</f>
        <v>20</v>
      </c>
      <c r="AE57">
        <f>PLANURI!B$12</f>
        <v>70</v>
      </c>
      <c r="AF57">
        <f>PLANURI!D$12</f>
        <v>10</v>
      </c>
      <c r="AG57" t="str">
        <f>PLANURI!BW499</f>
        <v>2021</v>
      </c>
    </row>
    <row r="58" spans="1:33" x14ac:dyDescent="0.2">
      <c r="A58" t="str">
        <f>PLANURI!AX500</f>
        <v>L420.19.05.S6-ij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130</v>
      </c>
      <c r="AC58" t="str">
        <f>PLANURI!H$9</f>
        <v>Tehnologia Constructiilor de Masini</v>
      </c>
      <c r="AD58">
        <f>PLANURI!A$12</f>
        <v>20</v>
      </c>
      <c r="AE58">
        <f>PLANURI!B$12</f>
        <v>70</v>
      </c>
      <c r="AF58">
        <f>PLANURI!D$12</f>
        <v>10</v>
      </c>
      <c r="AG58" t="str">
        <f>PLANURI!BW500</f>
        <v/>
      </c>
    </row>
    <row r="59" spans="1:33" x14ac:dyDescent="0.2">
      <c r="A59" t="str">
        <f>PLANURI!AX501</f>
        <v>L420.19.05.S7-ij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130</v>
      </c>
      <c r="AC59" t="str">
        <f>PLANURI!H$9</f>
        <v>Tehnologia Constructiilor de Masini</v>
      </c>
      <c r="AD59">
        <f>PLANURI!A$12</f>
        <v>20</v>
      </c>
      <c r="AE59">
        <f>PLANURI!B$12</f>
        <v>70</v>
      </c>
      <c r="AF59">
        <f>PLANURI!D$12</f>
        <v>10</v>
      </c>
      <c r="AG59" t="str">
        <f>PLANURI!BW501</f>
        <v/>
      </c>
    </row>
    <row r="60" spans="1:33" x14ac:dyDescent="0.2">
      <c r="A60" t="str">
        <f>PLANURI!AX502</f>
        <v>L420.19.05.D8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130</v>
      </c>
      <c r="AC60" t="str">
        <f>PLANURI!H$9</f>
        <v>Tehnologia Constructiilor de Masini</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130</v>
      </c>
      <c r="AC61" t="str">
        <f>PLANURI!H$9</f>
        <v>Tehnologia Constructiilor de Masini</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130</v>
      </c>
      <c r="AC62" t="str">
        <f>PLANURI!H$9</f>
        <v>Tehnologia Constructiilor de Masini</v>
      </c>
      <c r="AD62">
        <f>PLANURI!A$12</f>
        <v>20</v>
      </c>
      <c r="AE62">
        <f>PLANURI!B$12</f>
        <v>70</v>
      </c>
      <c r="AF62">
        <f>PLANURI!D$12</f>
        <v>10</v>
      </c>
      <c r="AG62" t="str">
        <f>PLANURI!BW504</f>
        <v/>
      </c>
    </row>
    <row r="63" spans="1:33" x14ac:dyDescent="0.2">
      <c r="A63" t="str">
        <f>PLANURI!AX505</f>
        <v>L420.19.05.11-ij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130</v>
      </c>
      <c r="AC63" t="str">
        <f>PLANURI!H$9</f>
        <v>Tehnologia Constructiilor de Masini</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20</v>
      </c>
      <c r="W64">
        <f>PLANURI!BT506</f>
        <v>0</v>
      </c>
      <c r="X64">
        <f>PLANURI!BU506</f>
        <v>0</v>
      </c>
      <c r="Y64">
        <f>PLANURI!BV506</f>
        <v>0</v>
      </c>
      <c r="Z64" t="str">
        <f>PLANURI!A$4</f>
        <v>Facultatea de Mecanică</v>
      </c>
      <c r="AA64" t="str">
        <f>PLANURI!H$6</f>
        <v xml:space="preserve"> Ştiinţe inginereşti</v>
      </c>
      <c r="AB64">
        <f>PLANURI!C$12</f>
        <v>130</v>
      </c>
      <c r="AC64" t="str">
        <f>PLANURI!H$9</f>
        <v>Tehnologia Constructiilor de Masini</v>
      </c>
      <c r="AD64">
        <f>PLANURI!A$12</f>
        <v>20</v>
      </c>
      <c r="AE64">
        <f>PLANURI!B$12</f>
        <v>70</v>
      </c>
      <c r="AF64">
        <f>PLANURI!D$12</f>
        <v>10</v>
      </c>
      <c r="AG64" t="str">
        <f>PLANURI!BW506</f>
        <v/>
      </c>
    </row>
    <row r="65" spans="1:33" x14ac:dyDescent="0.2">
      <c r="A65" t="str">
        <f>PLANURI!AX507</f>
        <v>L420.19.06.C1</v>
      </c>
      <c r="B65">
        <f>PLANURI!AY507</f>
        <v>1</v>
      </c>
      <c r="C65" t="str">
        <f>PLANURI!AZ507</f>
        <v>Marketing</v>
      </c>
      <c r="D65">
        <f>PLANURI!BA507</f>
        <v>3</v>
      </c>
      <c r="E65" t="str">
        <f>PLANURI!BB507</f>
        <v>6</v>
      </c>
      <c r="F65" t="str">
        <f>PLANURI!BC507</f>
        <v>D</v>
      </c>
      <c r="G65" t="str">
        <f>PLANURI!BD507</f>
        <v>DI</v>
      </c>
      <c r="H65">
        <f>PLANURI!BE507</f>
        <v>0</v>
      </c>
      <c r="I65">
        <f>PLANURI!BF507</f>
        <v>1</v>
      </c>
      <c r="J65">
        <f>PLANURI!BG507</f>
        <v>1</v>
      </c>
      <c r="K65">
        <f>PLANURI!BH507</f>
        <v>0</v>
      </c>
      <c r="L65">
        <f>PLANURI!BI507</f>
        <v>14</v>
      </c>
      <c r="M65">
        <f>PLANURI!BJ507</f>
        <v>14</v>
      </c>
      <c r="N65">
        <f>PLANURI!BK507</f>
        <v>0</v>
      </c>
      <c r="O65">
        <f>PLANURI!BL507</f>
        <v>0</v>
      </c>
      <c r="P65">
        <f>PLANURI!BM507</f>
        <v>0</v>
      </c>
      <c r="Q65">
        <f>PLANURI!BN507</f>
        <v>0</v>
      </c>
      <c r="R65" t="str">
        <f>PLANURI!BO507</f>
        <v>0</v>
      </c>
      <c r="S65">
        <f>PLANURI!BP507</f>
        <v>0</v>
      </c>
      <c r="T65">
        <f>PLANURI!BQ507</f>
        <v>2.6</v>
      </c>
      <c r="U65">
        <f>PLANURI!BR507</f>
        <v>36</v>
      </c>
      <c r="V65">
        <f>PLANURI!BS507</f>
        <v>2</v>
      </c>
      <c r="W65" t="str">
        <f>PLANURI!BT507</f>
        <v>DC</v>
      </c>
      <c r="X65">
        <f>PLANURI!BU507</f>
        <v>3.6</v>
      </c>
      <c r="Y65">
        <f>PLANURI!BV507</f>
        <v>50</v>
      </c>
      <c r="Z65" t="str">
        <f>PLANURI!A$4</f>
        <v>Facultatea de Mecanică</v>
      </c>
      <c r="AA65" t="str">
        <f>PLANURI!H$6</f>
        <v xml:space="preserve"> Ştiinţe inginereşti</v>
      </c>
      <c r="AB65">
        <f>PLANURI!C$12</f>
        <v>130</v>
      </c>
      <c r="AC65" t="str">
        <f>PLANURI!H$9</f>
        <v>Tehnologia Constructiilor de Masini</v>
      </c>
      <c r="AD65">
        <f>PLANURI!A$12</f>
        <v>20</v>
      </c>
      <c r="AE65">
        <f>PLANURI!B$12</f>
        <v>70</v>
      </c>
      <c r="AF65">
        <f>PLANURI!D$12</f>
        <v>10</v>
      </c>
      <c r="AG65" t="str">
        <f>PLANURI!BW507</f>
        <v>2021</v>
      </c>
    </row>
    <row r="66" spans="1:33" x14ac:dyDescent="0.2">
      <c r="A66" t="str">
        <f>PLANURI!AX508</f>
        <v>L420.19.06.D2</v>
      </c>
      <c r="B66">
        <f>PLANURI!AY508</f>
        <v>2</v>
      </c>
      <c r="C66" t="str">
        <f>PLANURI!AZ508</f>
        <v>Organe de maşini II</v>
      </c>
      <c r="D66">
        <f>PLANURI!BA508</f>
        <v>3</v>
      </c>
      <c r="E66" t="str">
        <f>PLANURI!BB508</f>
        <v>6</v>
      </c>
      <c r="F66" t="str">
        <f>PLANURI!BC508</f>
        <v>E</v>
      </c>
      <c r="G66" t="str">
        <f>PLANURI!BD508</f>
        <v>DI</v>
      </c>
      <c r="H66">
        <f>PLANURI!WL508</f>
        <v>0</v>
      </c>
      <c r="I66">
        <f>PLANURI!BF508</f>
        <v>2</v>
      </c>
      <c r="J66">
        <f>PLANURI!BG508</f>
        <v>2</v>
      </c>
      <c r="K66">
        <f>PLANURI!BH508</f>
        <v>0</v>
      </c>
      <c r="L66">
        <f>PLANURI!BI508</f>
        <v>28</v>
      </c>
      <c r="M66">
        <f>PLANURI!BJ508</f>
        <v>28</v>
      </c>
      <c r="N66">
        <f>PLANURI!BK508</f>
        <v>0</v>
      </c>
      <c r="O66">
        <f>PLANURI!BL508</f>
        <v>0</v>
      </c>
      <c r="P66">
        <f>PLANURI!BM508</f>
        <v>0</v>
      </c>
      <c r="Q66">
        <f>PLANURI!BN508</f>
        <v>0</v>
      </c>
      <c r="R66" t="str">
        <f>PLANURI!BO508</f>
        <v>0</v>
      </c>
      <c r="S66">
        <f>PLANURI!BP508</f>
        <v>0</v>
      </c>
      <c r="T66">
        <f>PLANURI!BQ508</f>
        <v>6.9</v>
      </c>
      <c r="U66">
        <f>PLANURI!BR508</f>
        <v>97</v>
      </c>
      <c r="V66">
        <f>PLANURI!BS508</f>
        <v>5</v>
      </c>
      <c r="W66" t="str">
        <f>PLANURI!BT508</f>
        <v>DD</v>
      </c>
      <c r="X66">
        <f>PLANURI!BU508</f>
        <v>8.9</v>
      </c>
      <c r="Y66">
        <f>PLANURI!BV508</f>
        <v>125</v>
      </c>
      <c r="Z66" t="str">
        <f>PLANURI!A$4</f>
        <v>Facultatea de Mecanică</v>
      </c>
      <c r="AA66" t="str">
        <f>PLANURI!H$6</f>
        <v xml:space="preserve"> Ştiinţe inginereşti</v>
      </c>
      <c r="AB66">
        <f>PLANURI!C$12</f>
        <v>130</v>
      </c>
      <c r="AC66" t="str">
        <f>PLANURI!H$9</f>
        <v>Tehnologia Constructiilor de Masini</v>
      </c>
      <c r="AD66">
        <f>PLANURI!A$12</f>
        <v>20</v>
      </c>
      <c r="AE66">
        <f>PLANURI!B$12</f>
        <v>70</v>
      </c>
      <c r="AF66">
        <f>PLANURI!D$12</f>
        <v>10</v>
      </c>
      <c r="AG66" t="str">
        <f>PLANURI!BW508</f>
        <v>2021</v>
      </c>
    </row>
    <row r="67" spans="1:33" x14ac:dyDescent="0.2">
      <c r="A67" t="str">
        <f>PLANURI!AX509</f>
        <v>L420.19.06.D3</v>
      </c>
      <c r="B67">
        <f>PLANURI!AY509</f>
        <v>3</v>
      </c>
      <c r="C67" t="str">
        <f>PLANURI!AZ509</f>
        <v>Proiectarea asistată de calculator</v>
      </c>
      <c r="D67">
        <f>PLANURI!BA509</f>
        <v>3</v>
      </c>
      <c r="E67" t="str">
        <f>PLANURI!BB509</f>
        <v>6</v>
      </c>
      <c r="F67" t="str">
        <f>PLANURI!BC509</f>
        <v>D</v>
      </c>
      <c r="G67" t="str">
        <f>PLANURI!BD509</f>
        <v>DI</v>
      </c>
      <c r="H67">
        <f>PLANURI!BE509</f>
        <v>0</v>
      </c>
      <c r="I67">
        <f>PLANURI!BF509</f>
        <v>2</v>
      </c>
      <c r="J67">
        <f>PLANURI!BG509</f>
        <v>2</v>
      </c>
      <c r="K67">
        <f>PLANURI!BH509</f>
        <v>0</v>
      </c>
      <c r="L67">
        <f>PLANURI!BI509</f>
        <v>28</v>
      </c>
      <c r="M67">
        <f>PLANURI!BJ509</f>
        <v>28</v>
      </c>
      <c r="N67">
        <f>PLANURI!BK509</f>
        <v>0</v>
      </c>
      <c r="O67">
        <f>PLANURI!BL509</f>
        <v>0</v>
      </c>
      <c r="P67">
        <f>PLANURI!BM509</f>
        <v>0</v>
      </c>
      <c r="Q67">
        <f>PLANURI!BN509</f>
        <v>0</v>
      </c>
      <c r="R67" t="str">
        <f>PLANURI!BO509</f>
        <v>0</v>
      </c>
      <c r="S67">
        <f>PLANURI!BP509</f>
        <v>0</v>
      </c>
      <c r="T67">
        <f>PLANURI!BQ509</f>
        <v>6.9</v>
      </c>
      <c r="U67">
        <f>PLANURI!BR509</f>
        <v>97</v>
      </c>
      <c r="V67">
        <f>PLANURI!BS509</f>
        <v>5</v>
      </c>
      <c r="W67" t="str">
        <f>PLANURI!BT509</f>
        <v>DD</v>
      </c>
      <c r="X67">
        <f>PLANURI!BU509</f>
        <v>8.9</v>
      </c>
      <c r="Y67">
        <f>PLANURI!BV509</f>
        <v>125</v>
      </c>
      <c r="Z67" t="str">
        <f>PLANURI!A$4</f>
        <v>Facultatea de Mecanică</v>
      </c>
      <c r="AA67" t="str">
        <f>PLANURI!H$6</f>
        <v xml:space="preserve"> Ştiinţe inginereşti</v>
      </c>
      <c r="AB67">
        <f>PLANURI!C$12</f>
        <v>130</v>
      </c>
      <c r="AC67" t="str">
        <f>PLANURI!H$9</f>
        <v>Tehnologia Constructiilor de Masini</v>
      </c>
      <c r="AD67">
        <f>PLANURI!A$12</f>
        <v>20</v>
      </c>
      <c r="AE67">
        <f>PLANURI!B$12</f>
        <v>70</v>
      </c>
      <c r="AF67">
        <f>PLANURI!D$12</f>
        <v>10</v>
      </c>
      <c r="AG67" t="str">
        <f>PLANURI!BW509</f>
        <v>2021</v>
      </c>
    </row>
    <row r="68" spans="1:33" x14ac:dyDescent="0.2">
      <c r="A68" t="str">
        <f>PLANURI!AX510</f>
        <v>L420.19.06.S4-ij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Facultatea de Mecanică</v>
      </c>
      <c r="AA68" t="str">
        <f>PLANURI!H$6</f>
        <v xml:space="preserve"> Ştiinţe inginereşti</v>
      </c>
      <c r="AB68">
        <f>PLANURI!C$12</f>
        <v>130</v>
      </c>
      <c r="AC68" t="str">
        <f>PLANURI!H$9</f>
        <v>Tehnologia Constructiilor de Masini</v>
      </c>
      <c r="AD68">
        <f>PLANURI!A$12</f>
        <v>20</v>
      </c>
      <c r="AE68">
        <f>PLANURI!B$12</f>
        <v>70</v>
      </c>
      <c r="AF68">
        <f>PLANURI!D$12</f>
        <v>10</v>
      </c>
      <c r="AG68" t="str">
        <f>PLANURI!BW510</f>
        <v/>
      </c>
    </row>
    <row r="69" spans="1:33" x14ac:dyDescent="0.2">
      <c r="A69" t="str">
        <f>PLANURI!AX511</f>
        <v>L420.19.06.D5-ij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130</v>
      </c>
      <c r="AC69" t="str">
        <f>PLANURI!H$9</f>
        <v>Tehnologia Constructiilor de Masini</v>
      </c>
      <c r="AD69">
        <f>PLANURI!A$12</f>
        <v>20</v>
      </c>
      <c r="AE69">
        <f>PLANURI!B$12</f>
        <v>70</v>
      </c>
      <c r="AF69">
        <f>PLANURI!D$12</f>
        <v>10</v>
      </c>
      <c r="AG69" t="str">
        <f>PLANURI!BW511</f>
        <v/>
      </c>
    </row>
    <row r="70" spans="1:33" x14ac:dyDescent="0.2">
      <c r="A70" t="str">
        <f>PLANURI!AX512</f>
        <v>L420.19.06.D6-ij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130</v>
      </c>
      <c r="AC70" t="str">
        <f>PLANURI!H$9</f>
        <v>Tehnologia Constructiilor de Masini</v>
      </c>
      <c r="AD70">
        <f>PLANURI!A$12</f>
        <v>20</v>
      </c>
      <c r="AE70">
        <f>PLANURI!B$12</f>
        <v>70</v>
      </c>
      <c r="AF70">
        <f>PLANURI!D$12</f>
        <v>10</v>
      </c>
      <c r="AG70" t="str">
        <f>PLANURI!BW512</f>
        <v/>
      </c>
    </row>
    <row r="71" spans="1:33" x14ac:dyDescent="0.2">
      <c r="A71" t="str">
        <f>PLANURI!AX513</f>
        <v>L420.19.06.S7-ij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130</v>
      </c>
      <c r="AC71" t="str">
        <f>PLANURI!H$9</f>
        <v>Tehnologia Constructiilor de Masini</v>
      </c>
      <c r="AD71">
        <f>PLANURI!A$12</f>
        <v>20</v>
      </c>
      <c r="AE71">
        <f>PLANURI!B$12</f>
        <v>70</v>
      </c>
      <c r="AF71">
        <f>PLANURI!D$12</f>
        <v>10</v>
      </c>
      <c r="AG71" t="str">
        <f>PLANURI!BW513</f>
        <v/>
      </c>
    </row>
    <row r="72" spans="1:33" x14ac:dyDescent="0.2">
      <c r="A72" t="str">
        <f>PLANURI!AX514</f>
        <v>L420.19.06.S8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130</v>
      </c>
      <c r="AC72" t="str">
        <f>PLANURI!H$9</f>
        <v>Tehnologia Constructiilor de Masini</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130</v>
      </c>
      <c r="AC73" t="str">
        <f>PLANURI!H$9</f>
        <v>Tehnologia Constructiilor de Masini</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130</v>
      </c>
      <c r="AC74" t="str">
        <f>PLANURI!H$9</f>
        <v>Tehnologia Constructiilor de Masini</v>
      </c>
      <c r="AD74">
        <f>PLANURI!A$12</f>
        <v>20</v>
      </c>
      <c r="AE74">
        <f>PLANURI!B$12</f>
        <v>70</v>
      </c>
      <c r="AF74">
        <f>PLANURI!D$12</f>
        <v>10</v>
      </c>
      <c r="AG74" t="str">
        <f>PLANURI!BW516</f>
        <v/>
      </c>
    </row>
    <row r="75" spans="1:33" x14ac:dyDescent="0.2">
      <c r="A75" t="str">
        <f>PLANURI!AX517</f>
        <v>L420.19.06.11-ij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130</v>
      </c>
      <c r="AC75" t="str">
        <f>PLANURI!H$9</f>
        <v>Tehnologia Constructiilor de Masini</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12</v>
      </c>
      <c r="W76">
        <f>PLANURI!BT518</f>
        <v>0</v>
      </c>
      <c r="X76">
        <f>PLANURI!BU518</f>
        <v>0</v>
      </c>
      <c r="Y76">
        <f>PLANURI!BV518</f>
        <v>0</v>
      </c>
      <c r="Z76" t="str">
        <f>PLANURI!A$4</f>
        <v>Facultatea de Mecanică</v>
      </c>
      <c r="AA76" t="str">
        <f>PLANURI!H$6</f>
        <v xml:space="preserve"> Ştiinţe inginereşti</v>
      </c>
      <c r="AB76">
        <f>PLANURI!C$12</f>
        <v>130</v>
      </c>
      <c r="AC76" t="str">
        <f>PLANURI!H$9</f>
        <v>Tehnologia Constructiilor de Masini</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130</v>
      </c>
      <c r="AC77" t="str">
        <f>PLANURI!H$9</f>
        <v>Tehnologia Constructiilor de Masini</v>
      </c>
      <c r="AD77">
        <f>PLANURI!A$12</f>
        <v>20</v>
      </c>
      <c r="AE77">
        <f>PLANURI!B$12</f>
        <v>70</v>
      </c>
      <c r="AF77">
        <f>PLANURI!D$12</f>
        <v>10</v>
      </c>
      <c r="AG77" t="e">
        <f>PLANURI!BW519</f>
        <v>#VALUE!</v>
      </c>
    </row>
    <row r="78" spans="1:33" x14ac:dyDescent="0.2">
      <c r="A78" t="str">
        <f>PLANURI!AX520</f>
        <v>L420.19.07.S1-ij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130</v>
      </c>
      <c r="AC78" t="str">
        <f>PLANURI!H$9</f>
        <v>Tehnologia Constructiilor de Masini</v>
      </c>
      <c r="AD78">
        <f>PLANURI!A$12</f>
        <v>20</v>
      </c>
      <c r="AE78">
        <f>PLANURI!B$12</f>
        <v>70</v>
      </c>
      <c r="AF78">
        <f>PLANURI!D$12</f>
        <v>10</v>
      </c>
      <c r="AG78" t="str">
        <f>PLANURI!BW520</f>
        <v/>
      </c>
    </row>
    <row r="79" spans="1:33" x14ac:dyDescent="0.2">
      <c r="A79" t="str">
        <f>PLANURI!AX521</f>
        <v>L420.19.07.S2-ij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130</v>
      </c>
      <c r="AC79" t="str">
        <f>PLANURI!H$9</f>
        <v>Tehnologia Constructiilor de Masini</v>
      </c>
      <c r="AD79">
        <f>PLANURI!A$12</f>
        <v>20</v>
      </c>
      <c r="AE79">
        <f>PLANURI!B$12</f>
        <v>70</v>
      </c>
      <c r="AF79">
        <f>PLANURI!D$12</f>
        <v>10</v>
      </c>
      <c r="AG79" t="str">
        <f>PLANURI!BW521</f>
        <v/>
      </c>
    </row>
    <row r="80" spans="1:33" x14ac:dyDescent="0.2">
      <c r="A80" t="str">
        <f>PLANURI!AX522</f>
        <v>L420.19.07.S3-ij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130</v>
      </c>
      <c r="AC80" t="str">
        <f>PLANURI!H$9</f>
        <v>Tehnologia Constructiilor de Masini</v>
      </c>
      <c r="AD80">
        <f>PLANURI!A$12</f>
        <v>20</v>
      </c>
      <c r="AE80">
        <f>PLANURI!B$12</f>
        <v>70</v>
      </c>
      <c r="AF80">
        <f>PLANURI!D$12</f>
        <v>10</v>
      </c>
      <c r="AG80" t="str">
        <f>PLANURI!BW522</f>
        <v/>
      </c>
    </row>
    <row r="81" spans="1:33" x14ac:dyDescent="0.2">
      <c r="A81" t="str">
        <f>PLANURI!AX523</f>
        <v>L420.19.07.S4-ij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130</v>
      </c>
      <c r="AC81" t="str">
        <f>PLANURI!H$9</f>
        <v>Tehnologia Constructiilor de Masini</v>
      </c>
      <c r="AD81">
        <f>PLANURI!A$12</f>
        <v>20</v>
      </c>
      <c r="AE81">
        <f>PLANURI!B$12</f>
        <v>70</v>
      </c>
      <c r="AF81">
        <f>PLANURI!D$12</f>
        <v>10</v>
      </c>
      <c r="AG81" t="str">
        <f>PLANURI!BW523</f>
        <v/>
      </c>
    </row>
    <row r="82" spans="1:33" x14ac:dyDescent="0.2">
      <c r="A82" t="str">
        <f>PLANURI!AX524</f>
        <v>L420.19.07.C5</v>
      </c>
      <c r="B82">
        <f>PLANURI!AY524</f>
        <v>5</v>
      </c>
      <c r="C82" t="str">
        <f>PLANURI!AZ524</f>
        <v>Comunicare</v>
      </c>
      <c r="D82">
        <f>PLANURI!BA524</f>
        <v>4</v>
      </c>
      <c r="E82" t="str">
        <f>PLANURI!BB524</f>
        <v>7</v>
      </c>
      <c r="F82" t="str">
        <f>PLANURI!BC524</f>
        <v>D</v>
      </c>
      <c r="G82" t="str">
        <f>PLANURI!BD524</f>
        <v>DI</v>
      </c>
      <c r="H82">
        <f>PLANURI!WL524</f>
        <v>0</v>
      </c>
      <c r="I82">
        <f>PLANURI!BF524</f>
        <v>1</v>
      </c>
      <c r="J82">
        <f>PLANURI!BG524</f>
        <v>1</v>
      </c>
      <c r="K82">
        <f>PLANURI!BH524</f>
        <v>0</v>
      </c>
      <c r="L82">
        <f>PLANURI!BI524</f>
        <v>14</v>
      </c>
      <c r="M82">
        <f>PLANURI!BJ524</f>
        <v>14</v>
      </c>
      <c r="N82">
        <f>PLANURI!BK524</f>
        <v>0</v>
      </c>
      <c r="O82">
        <f>PLANURI!BL524</f>
        <v>0</v>
      </c>
      <c r="P82">
        <f>PLANURI!BM524</f>
        <v>0</v>
      </c>
      <c r="Q82">
        <f>PLANURI!BN524</f>
        <v>0</v>
      </c>
      <c r="R82" t="str">
        <f>PLANURI!BO524</f>
        <v>0</v>
      </c>
      <c r="S82">
        <f>PLANURI!BP524</f>
        <v>0</v>
      </c>
      <c r="T82">
        <f>PLANURI!BQ524</f>
        <v>2.6</v>
      </c>
      <c r="U82">
        <f>PLANURI!BR524</f>
        <v>36</v>
      </c>
      <c r="V82">
        <f>PLANURI!BS524</f>
        <v>2</v>
      </c>
      <c r="W82" t="str">
        <f>PLANURI!BT524</f>
        <v>DC</v>
      </c>
      <c r="X82">
        <f>PLANURI!BU524</f>
        <v>3.6</v>
      </c>
      <c r="Y82">
        <f>PLANURI!BV524</f>
        <v>50</v>
      </c>
      <c r="Z82" t="str">
        <f>PLANURI!A$4</f>
        <v>Facultatea de Mecanică</v>
      </c>
      <c r="AA82" t="str">
        <f>PLANURI!H$6</f>
        <v xml:space="preserve"> Ştiinţe inginereşti</v>
      </c>
      <c r="AB82">
        <f>PLANURI!C$12</f>
        <v>130</v>
      </c>
      <c r="AC82" t="str">
        <f>PLANURI!H$9</f>
        <v>Tehnologia Constructiilor de Masini</v>
      </c>
      <c r="AD82">
        <f>PLANURI!A$12</f>
        <v>20</v>
      </c>
      <c r="AE82">
        <f>PLANURI!B$12</f>
        <v>70</v>
      </c>
      <c r="AF82">
        <f>PLANURI!D$12</f>
        <v>10</v>
      </c>
      <c r="AG82" t="str">
        <f>PLANURI!BW524</f>
        <v>2022</v>
      </c>
    </row>
    <row r="83" spans="1:33" x14ac:dyDescent="0.2">
      <c r="A83" t="str">
        <f>PLANURI!AX525</f>
        <v>L420.19.07.D6-ij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130</v>
      </c>
      <c r="AC83" t="str">
        <f>PLANURI!H$9</f>
        <v>Tehnologia Constructiilor de Masini</v>
      </c>
      <c r="AD83">
        <f>PLANURI!A$12</f>
        <v>20</v>
      </c>
      <c r="AE83">
        <f>PLANURI!B$12</f>
        <v>70</v>
      </c>
      <c r="AF83">
        <f>PLANURI!D$12</f>
        <v>10</v>
      </c>
      <c r="AG83" t="str">
        <f>PLANURI!BW525</f>
        <v/>
      </c>
    </row>
    <row r="84" spans="1:33" x14ac:dyDescent="0.2">
      <c r="A84" t="str">
        <f>PLANURI!AX526</f>
        <v>L420.19.07.D7-ij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130</v>
      </c>
      <c r="AC84" t="str">
        <f>PLANURI!H$9</f>
        <v>Tehnologia Constructiilor de Masini</v>
      </c>
      <c r="AD84">
        <f>PLANURI!A$12</f>
        <v>20</v>
      </c>
      <c r="AE84">
        <f>PLANURI!B$12</f>
        <v>70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130</v>
      </c>
      <c r="AC85" t="str">
        <f>PLANURI!H$9</f>
        <v>Tehnologia Constructiilor de Masini</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130</v>
      </c>
      <c r="AC86" t="str">
        <f>PLANURI!H$9</f>
        <v>Tehnologia Constructiilor de Masini</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130</v>
      </c>
      <c r="AC87" t="str">
        <f>PLANURI!H$9</f>
        <v>Tehnologia Constructiilor de Masini</v>
      </c>
      <c r="AD87">
        <f>PLANURI!A$12</f>
        <v>20</v>
      </c>
      <c r="AE87">
        <f>PLANURI!B$12</f>
        <v>70</v>
      </c>
      <c r="AF87">
        <f>PLANURI!D$12</f>
        <v>10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130</v>
      </c>
      <c r="AC88" t="str">
        <f>PLANURI!H$9</f>
        <v>Tehnologia Constructiilor de Masini</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130</v>
      </c>
      <c r="AC89" t="str">
        <f>PLANURI!H$9</f>
        <v>Tehnologia Constructiilor de Masini</v>
      </c>
      <c r="AD89">
        <f>PLANURI!A$12</f>
        <v>20</v>
      </c>
      <c r="AE89">
        <f>PLANURI!B$12</f>
        <v>70</v>
      </c>
      <c r="AF89">
        <f>PLANURI!D$12</f>
        <v>10</v>
      </c>
      <c r="AG89" t="str">
        <f>PLANURI!BW531</f>
        <v/>
      </c>
    </row>
    <row r="90" spans="1:33" x14ac:dyDescent="0.2">
      <c r="A90" t="str">
        <f>PLANURI!AX532</f>
        <v>L420.19.08.S1-ij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130</v>
      </c>
      <c r="AC90" t="str">
        <f>PLANURI!H$9</f>
        <v>Tehnologia Constructiilor de Masini</v>
      </c>
      <c r="AD90">
        <f>PLANURI!A$12</f>
        <v>20</v>
      </c>
      <c r="AE90">
        <f>PLANURI!B$12</f>
        <v>70</v>
      </c>
      <c r="AF90">
        <f>PLANURI!D$12</f>
        <v>10</v>
      </c>
      <c r="AG90" t="str">
        <f>PLANURI!BW532</f>
        <v/>
      </c>
    </row>
    <row r="91" spans="1:33" x14ac:dyDescent="0.2">
      <c r="A91" t="str">
        <f>PLANURI!AX533</f>
        <v>L420.19.08.S2-ij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130</v>
      </c>
      <c r="AC91" t="str">
        <f>PLANURI!H$9</f>
        <v>Tehnologia Constructiilor de Masini</v>
      </c>
      <c r="AD91">
        <f>PLANURI!A$12</f>
        <v>20</v>
      </c>
      <c r="AE91">
        <f>PLANURI!B$12</f>
        <v>70</v>
      </c>
      <c r="AF91">
        <f>PLANURI!D$12</f>
        <v>10</v>
      </c>
      <c r="AG91" t="str">
        <f>PLANURI!BW533</f>
        <v/>
      </c>
    </row>
    <row r="92" spans="1:33" x14ac:dyDescent="0.2">
      <c r="A92" t="str">
        <f>PLANURI!AX534</f>
        <v>L420.19.08.S3-ij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130</v>
      </c>
      <c r="AC92" t="str">
        <f>PLANURI!H$9</f>
        <v>Tehnologia Constructiilor de Masini</v>
      </c>
      <c r="AD92">
        <f>PLANURI!A$12</f>
        <v>20</v>
      </c>
      <c r="AE92">
        <f>PLANURI!B$12</f>
        <v>70</v>
      </c>
      <c r="AF92">
        <f>PLANURI!D$12</f>
        <v>10</v>
      </c>
      <c r="AG92" t="str">
        <f>PLANURI!BW534</f>
        <v/>
      </c>
    </row>
    <row r="93" spans="1:33" x14ac:dyDescent="0.2">
      <c r="A93" t="str">
        <f>PLANURI!AX535</f>
        <v>L420.19.08.S4-ij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130</v>
      </c>
      <c r="AC93" t="str">
        <f>PLANURI!H$9</f>
        <v>Tehnologia Constructiilor de Masini</v>
      </c>
      <c r="AD93">
        <f>PLANURI!A$12</f>
        <v>20</v>
      </c>
      <c r="AE93">
        <f>PLANURI!B$12</f>
        <v>70</v>
      </c>
      <c r="AF93">
        <f>PLANURI!D$12</f>
        <v>10</v>
      </c>
      <c r="AG93" t="str">
        <f>PLANURI!BW535</f>
        <v/>
      </c>
    </row>
    <row r="94" spans="1:33" x14ac:dyDescent="0.2">
      <c r="A94" t="str">
        <f>PLANURI!AX536</f>
        <v>L420.19.08.S5</v>
      </c>
      <c r="B94">
        <f>PLANURI!AY536</f>
        <v>5</v>
      </c>
      <c r="C94" t="str">
        <f>PLANURI!AZ536</f>
        <v>Elaborare proiect de diplomă3)</v>
      </c>
      <c r="D94">
        <f>PLANURI!BA536</f>
        <v>4</v>
      </c>
      <c r="E94" t="str">
        <f>PLANURI!BB536</f>
        <v>8</v>
      </c>
      <c r="F94" t="str">
        <f>PLANURI!BC536</f>
        <v>D</v>
      </c>
      <c r="G94" t="str">
        <f>PLANURI!BD536</f>
        <v>DI</v>
      </c>
      <c r="H94">
        <f>PLANURI!WL536</f>
        <v>0</v>
      </c>
      <c r="I94" t="e">
        <f>PLANURI!BF536</f>
        <v>#VALUE!</v>
      </c>
      <c r="J94" t="e">
        <f>PLANURI!BG536</f>
        <v>#VALUE!</v>
      </c>
      <c r="K94" t="str">
        <f>PLANURI!BH536</f>
        <v/>
      </c>
      <c r="L94" t="str">
        <f>PLANURI!BI536</f>
        <v/>
      </c>
      <c r="M94" t="e">
        <f>PLANURI!BJ536</f>
        <v>#VALUE!</v>
      </c>
      <c r="N94">
        <f>PLANURI!BK536</f>
        <v>0</v>
      </c>
      <c r="O94">
        <f>PLANURI!BL536</f>
        <v>13</v>
      </c>
      <c r="P94">
        <f>PLANURI!BM536</f>
        <v>13</v>
      </c>
      <c r="Q94">
        <f>PLANURI!BN536</f>
        <v>0</v>
      </c>
      <c r="R94">
        <f>PLANURI!BO536</f>
        <v>182</v>
      </c>
      <c r="S94">
        <f>PLANURI!BP536</f>
        <v>182</v>
      </c>
      <c r="T94">
        <f>PLANURI!BQ536</f>
        <v>0</v>
      </c>
      <c r="U94">
        <f>PLANURI!BR536</f>
        <v>0</v>
      </c>
      <c r="V94">
        <f>PLANURI!BS536</f>
        <v>5</v>
      </c>
      <c r="W94" t="str">
        <f>PLANURI!BT536</f>
        <v>DS</v>
      </c>
      <c r="X94" t="e">
        <f>PLANURI!BU536</f>
        <v>#VALUE!</v>
      </c>
      <c r="Y94" t="e">
        <f>PLANURI!BV536</f>
        <v>#VALUE!</v>
      </c>
      <c r="Z94" t="str">
        <f>PLANURI!A$4</f>
        <v>Facultatea de Mecanică</v>
      </c>
      <c r="AA94" t="str">
        <f>PLANURI!H$6</f>
        <v xml:space="preserve"> Ştiinţe inginereşti</v>
      </c>
      <c r="AB94">
        <f>PLANURI!C$12</f>
        <v>130</v>
      </c>
      <c r="AC94" t="str">
        <f>PLANURI!H$9</f>
        <v>Tehnologia Constructiilor de Masini</v>
      </c>
      <c r="AD94">
        <f>PLANURI!A$12</f>
        <v>20</v>
      </c>
      <c r="AE94">
        <f>PLANURI!B$12</f>
        <v>70</v>
      </c>
      <c r="AF94">
        <f>PLANURI!D$12</f>
        <v>10</v>
      </c>
      <c r="AG94" t="str">
        <f>PLANURI!BW536</f>
        <v>2022</v>
      </c>
    </row>
    <row r="95" spans="1:33" x14ac:dyDescent="0.2">
      <c r="A95" t="str">
        <f>PLANURI!AX537</f>
        <v>L420.19.08.6</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 xml:space="preserve"> Ştiinţe inginereşti</v>
      </c>
      <c r="AB95">
        <f>PLANURI!C$12</f>
        <v>130</v>
      </c>
      <c r="AC95" t="str">
        <f>PLANURI!H$9</f>
        <v>Tehnologia Constructiilor de Masini</v>
      </c>
      <c r="AD95">
        <f>PLANURI!A$12</f>
        <v>20</v>
      </c>
      <c r="AE95">
        <f>PLANURI!B$12</f>
        <v>70</v>
      </c>
      <c r="AF95">
        <f>PLANURI!D$12</f>
        <v>10</v>
      </c>
      <c r="AG95" t="str">
        <f>PLANURI!BW537</f>
        <v/>
      </c>
    </row>
    <row r="96" spans="1:33" x14ac:dyDescent="0.2">
      <c r="A96" t="str">
        <f>PLANURI!AX538</f>
        <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130</v>
      </c>
      <c r="AC96" t="str">
        <f>PLANURI!H$9</f>
        <v>Tehnologia Constructiilor de Masini</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130</v>
      </c>
      <c r="AC97" t="str">
        <f>PLANURI!H$9</f>
        <v>Tehnologia Constructiilor de Masini</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130</v>
      </c>
      <c r="AC98" t="str">
        <f>PLANURI!H$9</f>
        <v>Tehnologia Constructiilor de Masini</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130</v>
      </c>
      <c r="AC99" t="str">
        <f>PLANURI!H$9</f>
        <v>Tehnologia Constructiilor de Masini</v>
      </c>
      <c r="AD99">
        <f>PLANURI!A$12</f>
        <v>20</v>
      </c>
      <c r="AE99">
        <f>PLANURI!B$12</f>
        <v>70</v>
      </c>
      <c r="AF99">
        <f>PLANURI!D$12</f>
        <v>10</v>
      </c>
      <c r="AG99" t="str">
        <f>PLANURI!BW541</f>
        <v/>
      </c>
    </row>
    <row r="100" spans="1:33" x14ac:dyDescent="0.2">
      <c r="A100" t="str">
        <f>PLANURI!AX542</f>
        <v>L420.19.08.11-ij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130</v>
      </c>
      <c r="AC100" t="str">
        <f>PLANURI!H$9</f>
        <v>Tehnologia Constructiilor de Masini</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5</v>
      </c>
      <c r="W101">
        <f>PLANURI!BT543</f>
        <v>0</v>
      </c>
      <c r="X101">
        <f>PLANURI!BU543</f>
        <v>0</v>
      </c>
      <c r="Y101">
        <f>PLANURI!BV543</f>
        <v>0</v>
      </c>
      <c r="Z101" t="str">
        <f>PLANURI!A$4</f>
        <v>Facultatea de Mecanică</v>
      </c>
      <c r="AA101" t="str">
        <f>PLANURI!H$6</f>
        <v xml:space="preserve"> Ştiinţe inginereşti</v>
      </c>
      <c r="AB101">
        <f>PLANURI!C$12</f>
        <v>130</v>
      </c>
      <c r="AC101" t="str">
        <f>PLANURI!H$9</f>
        <v>Tehnologia Constructiilor de Masini</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130</v>
      </c>
      <c r="AC102" t="str">
        <f>PLANURI!H$9</f>
        <v>Tehnologia Constructiilor de Masini</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130</v>
      </c>
      <c r="AC103" t="str">
        <f>PLANURI!H$9</f>
        <v>Tehnologia Constructiilor de Masini</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130</v>
      </c>
      <c r="AC104" t="str">
        <f>PLANURI!H$9</f>
        <v>Tehnologia Constructiilor de Masini</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130</v>
      </c>
      <c r="AC105" t="str">
        <f>PLANURI!H$9</f>
        <v>Tehnologia Constructiilor de Masini</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130</v>
      </c>
      <c r="AC106" t="str">
        <f>PLANURI!H$9</f>
        <v>Tehnologia Constructiilor de Masini</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130</v>
      </c>
      <c r="AC107" t="str">
        <f>PLANURI!H$9</f>
        <v>Tehnologia Constructiilor de Masini</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130</v>
      </c>
      <c r="AC108" t="str">
        <f>PLANURI!H$9</f>
        <v>Tehnologia Constructiilor de Masini</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130</v>
      </c>
      <c r="AC109" t="str">
        <f>PLANURI!H$9</f>
        <v>Tehnologia Constructiilor de Masini</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130</v>
      </c>
      <c r="AC110" t="str">
        <f>PLANURI!H$9</f>
        <v>Tehnologia Constructiilor de Masini</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130</v>
      </c>
      <c r="AC111" t="str">
        <f>PLANURI!H$9</f>
        <v>Tehnologia Constructiilor de Masini</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130</v>
      </c>
      <c r="AC112" t="str">
        <f>PLANURI!H$9</f>
        <v>Tehnologia Constructiilor de Masini</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130</v>
      </c>
      <c r="AC113" t="str">
        <f>PLANURI!H$9</f>
        <v>Tehnologia Constructiilor de Masini</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130</v>
      </c>
      <c r="AC114" t="str">
        <f>PLANURI!H$9</f>
        <v>Tehnologia Constructiilor de Masini</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130</v>
      </c>
      <c r="AC115" t="str">
        <f>PLANURI!H$9</f>
        <v>Tehnologia Constructiilor de Masini</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130</v>
      </c>
      <c r="AC116" t="str">
        <f>PLANURI!H$9</f>
        <v>Tehnologia Constructiilor de Masini</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130</v>
      </c>
      <c r="AC117" t="str">
        <f>PLANURI!H$9</f>
        <v>Tehnologia Constructiilor de Masini</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130</v>
      </c>
      <c r="AC118" t="str">
        <f>PLANURI!H$9</f>
        <v>Tehnologia Constructiilor de Masini</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130</v>
      </c>
      <c r="AC119" t="str">
        <f>PLANURI!H$9</f>
        <v>Tehnologia Constructiilor de Masini</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130</v>
      </c>
      <c r="AC120" t="str">
        <f>PLANURI!H$9</f>
        <v>Tehnologia Constructiilor de Masini</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130</v>
      </c>
      <c r="AC121" t="str">
        <f>PLANURI!H$9</f>
        <v>Tehnologia Constructiilor de Masini</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130</v>
      </c>
      <c r="AC122" t="str">
        <f>PLANURI!H$9</f>
        <v>Tehnologia Constructiilor de Masini</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130</v>
      </c>
      <c r="AC123" t="str">
        <f>PLANURI!H$9</f>
        <v>Tehnologia Constructiilor de Masini</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130</v>
      </c>
      <c r="AC124" t="str">
        <f>PLANURI!H$9</f>
        <v>Tehnologia Constructiilor de Masini</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130</v>
      </c>
      <c r="AC125" t="str">
        <f>PLANURI!H$9</f>
        <v>Tehnologia Constructiilor de Masini</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130</v>
      </c>
      <c r="AC126" t="str">
        <f>PLANURI!H$9</f>
        <v>Tehnologia Constructiilor de Masini</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130</v>
      </c>
      <c r="AC127" t="str">
        <f>PLANURI!H$9</f>
        <v>Tehnologia Constructiilor de Masini</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130</v>
      </c>
      <c r="AC128" t="str">
        <f>PLANURI!H$9</f>
        <v>Tehnologia Constructiilor de Masini</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130</v>
      </c>
      <c r="AC129" t="str">
        <f>PLANURI!H$9</f>
        <v>Tehnologia Constructiilor de Masini</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130</v>
      </c>
      <c r="AC130" t="str">
        <f>PLANURI!H$9</f>
        <v>Tehnologia Constructiilor de Masini</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130</v>
      </c>
      <c r="AC131" t="str">
        <f>PLANURI!H$9</f>
        <v>Tehnologia Constructiilor de Masini</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130</v>
      </c>
      <c r="AC132" t="str">
        <f>PLANURI!H$9</f>
        <v>Tehnologia Constructiilor de Masini</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130</v>
      </c>
      <c r="AC133" t="str">
        <f>PLANURI!H$9</f>
        <v>Tehnologia Constructiilor de Masini</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130</v>
      </c>
      <c r="AC134" t="str">
        <f>PLANURI!H$9</f>
        <v>Tehnologia Constructiilor de Masini</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130</v>
      </c>
      <c r="AC135" t="str">
        <f>PLANURI!H$9</f>
        <v>Tehnologia Constructiilor de Masini</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130</v>
      </c>
      <c r="AC136" t="str">
        <f>PLANURI!H$9</f>
        <v>Tehnologia Constructiilor de Masini</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130</v>
      </c>
      <c r="AC137" t="str">
        <f>PLANURI!H$9</f>
        <v>Tehnologia Constructiilor de Masini</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130</v>
      </c>
      <c r="AC138" t="str">
        <f>PLANURI!H$9</f>
        <v>Tehnologia Constructiilor de Masini</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130</v>
      </c>
      <c r="AC139" t="str">
        <f>PLANURI!H$9</f>
        <v>Tehnologia Constructiilor de Masini</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130</v>
      </c>
      <c r="AC140" t="str">
        <f>PLANURI!H$9</f>
        <v>Tehnologia Constructiilor de Masini</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130</v>
      </c>
      <c r="AC141" t="str">
        <f>PLANURI!H$9</f>
        <v>Tehnologia Constructiilor de Masini</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130</v>
      </c>
      <c r="AC142" t="str">
        <f>PLANURI!H$9</f>
        <v>Tehnologia Constructiilor de Masini</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130</v>
      </c>
      <c r="AC143" t="str">
        <f>PLANURI!H$9</f>
        <v>Tehnologia Constructiilor de Masini</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130</v>
      </c>
      <c r="AC144" t="str">
        <f>PLANURI!H$9</f>
        <v>Tehnologia Constructiilor de Masini</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130</v>
      </c>
      <c r="AC145" t="str">
        <f>PLANURI!H$9</f>
        <v>Tehnologia Constructiilor de Masini</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130</v>
      </c>
      <c r="AC146" t="str">
        <f>PLANURI!H$9</f>
        <v>Tehnologia Constructiilor de Masini</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130</v>
      </c>
      <c r="AC147" t="str">
        <f>PLANURI!H$9</f>
        <v>Tehnologia Constructiilor de Masini</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130</v>
      </c>
      <c r="AC148" t="str">
        <f>PLANURI!H$9</f>
        <v>Tehnologia Constructiilor de Masini</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130</v>
      </c>
      <c r="AC149" t="str">
        <f>PLANURI!H$9</f>
        <v>Tehnologia Constructiilor de Masini</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130</v>
      </c>
      <c r="AC150" t="str">
        <f>PLANURI!H$9</f>
        <v>Tehnologia Constructiilor de Masini</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130</v>
      </c>
      <c r="AC151" t="str">
        <f>PLANURI!H$9</f>
        <v>Tehnologia Constructiilor de Masini</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130</v>
      </c>
      <c r="AC152" t="str">
        <f>PLANURI!H$9</f>
        <v>Tehnologia Constructiilor de Masini</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130</v>
      </c>
      <c r="AC153" t="str">
        <f>PLANURI!H$9</f>
        <v>Tehnologia Constructiilor de Masini</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130</v>
      </c>
      <c r="AC154" t="str">
        <f>PLANURI!H$9</f>
        <v>Tehnologia Constructiilor de Masini</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130</v>
      </c>
      <c r="AC155" t="str">
        <f>PLANURI!H$9</f>
        <v>Tehnologia Constructiilor de Masini</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130</v>
      </c>
      <c r="AC156" t="str">
        <f>PLANURI!H$9</f>
        <v>Tehnologia Constructiilor de Masini</v>
      </c>
      <c r="AD156">
        <f>PLANURI!A$12</f>
        <v>20</v>
      </c>
      <c r="AE156">
        <f>PLANURI!B$12</f>
        <v>70</v>
      </c>
      <c r="AF156">
        <f>PLANURI!D$12</f>
        <v>10</v>
      </c>
      <c r="AG156" t="str">
        <f>PLANURI!BW598</f>
        <v/>
      </c>
    </row>
    <row r="157" spans="1:33" x14ac:dyDescent="0.2">
      <c r="A157" t="str">
        <f>PLANURI!AX599</f>
        <v>L420.19.05.S6-01</v>
      </c>
      <c r="B157">
        <f>PLANURI!AY599</f>
        <v>1</v>
      </c>
      <c r="C157" t="str">
        <f>PLANURI!AZ599</f>
        <v xml:space="preserve">Opțional 1                                                                                                  Logistica fabricatiei            </v>
      </c>
      <c r="D157">
        <f>PLANURI!BA599</f>
        <v>3</v>
      </c>
      <c r="E157" t="str">
        <f>PLANURI!BB599</f>
        <v>5</v>
      </c>
      <c r="F157" t="str">
        <f>PLANURI!BC599</f>
        <v>D</v>
      </c>
      <c r="G157" t="str">
        <f>PLANURI!BD599</f>
        <v>DO</v>
      </c>
      <c r="H157">
        <f>PLANURI!BE599</f>
        <v>0</v>
      </c>
      <c r="I157">
        <f>PLANURI!BF599</f>
        <v>1</v>
      </c>
      <c r="J157">
        <f>PLANURI!BG599</f>
        <v>1</v>
      </c>
      <c r="K157">
        <f>PLANURI!BH599</f>
        <v>0</v>
      </c>
      <c r="L157">
        <f>PLANURI!BI599</f>
        <v>14</v>
      </c>
      <c r="M157">
        <f>PLANURI!BJ599</f>
        <v>14</v>
      </c>
      <c r="N157">
        <f>PLANURI!BK599</f>
        <v>0</v>
      </c>
      <c r="O157">
        <f>PLANURI!BL599</f>
        <v>0</v>
      </c>
      <c r="P157">
        <f>PLANURI!BM599</f>
        <v>0</v>
      </c>
      <c r="Q157">
        <f>PLANURI!BN599</f>
        <v>0</v>
      </c>
      <c r="R157">
        <f>PLANURI!BO599</f>
        <v>0</v>
      </c>
      <c r="S157">
        <f>PLANURI!BP599</f>
        <v>0</v>
      </c>
      <c r="T157">
        <f>PLANURI!BQ599</f>
        <v>4.4000000000000004</v>
      </c>
      <c r="U157">
        <f>PLANURI!BR599</f>
        <v>61</v>
      </c>
      <c r="V157">
        <f>PLANURI!BS599</f>
        <v>3</v>
      </c>
      <c r="W157" t="str">
        <f>PLANURI!BT599</f>
        <v>DD</v>
      </c>
      <c r="X157">
        <f>PLANURI!BU599</f>
        <v>5.4</v>
      </c>
      <c r="Y157">
        <f>PLANURI!BV599</f>
        <v>75</v>
      </c>
      <c r="Z157" t="str">
        <f>PLANURI!A$4</f>
        <v>Facultatea de Mecanică</v>
      </c>
      <c r="AA157" t="str">
        <f>PLANURI!H$6</f>
        <v xml:space="preserve"> Ştiinţe inginereşti</v>
      </c>
      <c r="AB157">
        <f>PLANURI!C$12</f>
        <v>130</v>
      </c>
      <c r="AC157" t="str">
        <f>PLANURI!H$9</f>
        <v>Tehnologia Constructiilor de Masini</v>
      </c>
      <c r="AD157">
        <f>PLANURI!A$12</f>
        <v>20</v>
      </c>
      <c r="AE157">
        <f>PLANURI!B$12</f>
        <v>70</v>
      </c>
      <c r="AF157">
        <f>PLANURI!D$12</f>
        <v>10</v>
      </c>
      <c r="AG157" t="str">
        <f>PLANURI!BW599</f>
        <v>2021</v>
      </c>
    </row>
    <row r="158" spans="1:33" x14ac:dyDescent="0.2">
      <c r="A158" t="str">
        <f>PLANURI!AX600</f>
        <v>L420.19.05.S6-02</v>
      </c>
      <c r="B158">
        <f>PLANURI!AY600</f>
        <v>2</v>
      </c>
      <c r="C158" t="str">
        <f>PLANURI!AZ600</f>
        <v>Opțional 1 independent                                                                         Prototipare si fabricatie rapida (*)</v>
      </c>
      <c r="D158">
        <f>PLANURI!BA600</f>
        <v>3</v>
      </c>
      <c r="E158" t="str">
        <f>PLANURI!BB600</f>
        <v>5</v>
      </c>
      <c r="F158" t="str">
        <f>PLANURI!BC600</f>
        <v>D</v>
      </c>
      <c r="G158" t="str">
        <f>PLANURI!BD600</f>
        <v>DO</v>
      </c>
      <c r="H158">
        <f>PLANURI!WL600</f>
        <v>0</v>
      </c>
      <c r="I158">
        <f>PLANURI!BF600</f>
        <v>1</v>
      </c>
      <c r="J158">
        <f>PLANURI!BG600</f>
        <v>1</v>
      </c>
      <c r="K158">
        <f>PLANURI!BH600</f>
        <v>0</v>
      </c>
      <c r="L158">
        <f>PLANURI!BI600</f>
        <v>14</v>
      </c>
      <c r="M158">
        <f>PLANURI!BJ600</f>
        <v>14</v>
      </c>
      <c r="N158">
        <f>PLANURI!BK600</f>
        <v>0</v>
      </c>
      <c r="O158">
        <f>PLANURI!BL600</f>
        <v>0</v>
      </c>
      <c r="P158">
        <f>PLANURI!BM600</f>
        <v>0</v>
      </c>
      <c r="Q158">
        <f>PLANURI!BN600</f>
        <v>0</v>
      </c>
      <c r="R158">
        <f>PLANURI!BO600</f>
        <v>0</v>
      </c>
      <c r="S158">
        <f>PLANURI!BP600</f>
        <v>0</v>
      </c>
      <c r="T158">
        <f>PLANURI!BQ600</f>
        <v>4.4000000000000004</v>
      </c>
      <c r="U158">
        <f>PLANURI!BR600</f>
        <v>61</v>
      </c>
      <c r="V158">
        <f>PLANURI!BS600</f>
        <v>3</v>
      </c>
      <c r="W158" t="str">
        <f>PLANURI!BT600</f>
        <v>DD</v>
      </c>
      <c r="X158">
        <f>PLANURI!BU600</f>
        <v>5.4</v>
      </c>
      <c r="Y158">
        <f>PLANURI!BV600</f>
        <v>75</v>
      </c>
      <c r="Z158" t="str">
        <f>PLANURI!A$4</f>
        <v>Facultatea de Mecanică</v>
      </c>
      <c r="AA158" t="str">
        <f>PLANURI!H$6</f>
        <v xml:space="preserve"> Ştiinţe inginereşti</v>
      </c>
      <c r="AB158">
        <f>PLANURI!C$12</f>
        <v>130</v>
      </c>
      <c r="AC158" t="str">
        <f>PLANURI!H$9</f>
        <v>Tehnologia Constructiilor de Masini</v>
      </c>
      <c r="AD158">
        <f>PLANURI!A$12</f>
        <v>20</v>
      </c>
      <c r="AE158">
        <f>PLANURI!B$12</f>
        <v>70</v>
      </c>
      <c r="AF158">
        <f>PLANURI!D$12</f>
        <v>10</v>
      </c>
      <c r="AG158" t="str">
        <f>PLANURI!BW600</f>
        <v>2021</v>
      </c>
    </row>
    <row r="159" spans="1:33" x14ac:dyDescent="0.2">
      <c r="A159" t="str">
        <f>PLANURI!AX601</f>
        <v>L420.19.05.S7-03</v>
      </c>
      <c r="B159">
        <f>PLANURI!AY601</f>
        <v>3</v>
      </c>
      <c r="C159" t="str">
        <f>PLANURI!AZ601</f>
        <v>Opțional 2 independent 
Tehnologii de deformare plastică (*)</v>
      </c>
      <c r="D159">
        <f>PLANURI!BA601</f>
        <v>3</v>
      </c>
      <c r="E159" t="str">
        <f>PLANURI!BB601</f>
        <v>5</v>
      </c>
      <c r="F159" t="str">
        <f>PLANURI!BC601</f>
        <v>E</v>
      </c>
      <c r="G159" t="str">
        <f>PLANURI!BD601</f>
        <v>DO</v>
      </c>
      <c r="H159">
        <f>PLANURI!BE601</f>
        <v>0</v>
      </c>
      <c r="I159">
        <f>PLANURI!BF601</f>
        <v>2</v>
      </c>
      <c r="J159">
        <f>PLANURI!BG601</f>
        <v>2</v>
      </c>
      <c r="K159">
        <f>PLANURI!BH601</f>
        <v>0</v>
      </c>
      <c r="L159">
        <f>PLANURI!BI601</f>
        <v>28</v>
      </c>
      <c r="M159">
        <f>PLANURI!BJ601</f>
        <v>28</v>
      </c>
      <c r="N159">
        <f>PLANURI!BK601</f>
        <v>0</v>
      </c>
      <c r="O159">
        <f>PLANURI!BL601</f>
        <v>0</v>
      </c>
      <c r="P159">
        <f>PLANURI!BM601</f>
        <v>0</v>
      </c>
      <c r="Q159">
        <f>PLANURI!BN601</f>
        <v>0</v>
      </c>
      <c r="R159">
        <f>PLANURI!BO601</f>
        <v>0</v>
      </c>
      <c r="S159">
        <f>PLANURI!BP601</f>
        <v>0</v>
      </c>
      <c r="T159">
        <f>PLANURI!BQ601</f>
        <v>5.0999999999999996</v>
      </c>
      <c r="U159">
        <f>PLANURI!BR601</f>
        <v>72</v>
      </c>
      <c r="V159">
        <f>PLANURI!BS601</f>
        <v>4</v>
      </c>
      <c r="W159" t="str">
        <f>PLANURI!BT601</f>
        <v>DD</v>
      </c>
      <c r="X159">
        <f>PLANURI!BU601</f>
        <v>7.1</v>
      </c>
      <c r="Y159">
        <f>PLANURI!BV601</f>
        <v>100</v>
      </c>
      <c r="Z159" t="str">
        <f>PLANURI!A$4</f>
        <v>Facultatea de Mecanică</v>
      </c>
      <c r="AA159" t="str">
        <f>PLANURI!H$6</f>
        <v xml:space="preserve"> Ştiinţe inginereşti</v>
      </c>
      <c r="AB159">
        <f>PLANURI!C$12</f>
        <v>130</v>
      </c>
      <c r="AC159" t="str">
        <f>PLANURI!H$9</f>
        <v>Tehnologia Constructiilor de Masini</v>
      </c>
      <c r="AD159">
        <f>PLANURI!A$12</f>
        <v>20</v>
      </c>
      <c r="AE159">
        <f>PLANURI!B$12</f>
        <v>70</v>
      </c>
      <c r="AF159">
        <f>PLANURI!D$12</f>
        <v>10</v>
      </c>
      <c r="AG159" t="str">
        <f>PLANURI!BW601</f>
        <v>2021</v>
      </c>
    </row>
    <row r="160" spans="1:33" x14ac:dyDescent="0.2">
      <c r="A160" t="str">
        <f>PLANURI!AX602</f>
        <v>L420.19.05.S7-04</v>
      </c>
      <c r="B160">
        <f>PLANURI!AY602</f>
        <v>4</v>
      </c>
      <c r="C160" t="str">
        <f>PLANURI!AZ602</f>
        <v>Opțional 2 independent 
Sisteme de prelucrare prin deformări plastice</v>
      </c>
      <c r="D160">
        <f>PLANURI!BA602</f>
        <v>3</v>
      </c>
      <c r="E160" t="str">
        <f>PLANURI!BB602</f>
        <v>5</v>
      </c>
      <c r="F160" t="str">
        <f>PLANURI!BC602</f>
        <v>E</v>
      </c>
      <c r="G160" t="str">
        <f>PLANURI!BD602</f>
        <v>DO</v>
      </c>
      <c r="H160">
        <f>PLANURI!WL602</f>
        <v>0</v>
      </c>
      <c r="I160">
        <f>PLANURI!BF602</f>
        <v>2</v>
      </c>
      <c r="J160">
        <f>PLANURI!BG602</f>
        <v>2</v>
      </c>
      <c r="K160">
        <f>PLANURI!BH602</f>
        <v>0</v>
      </c>
      <c r="L160">
        <f>PLANURI!BI602</f>
        <v>28</v>
      </c>
      <c r="M160">
        <f>PLANURI!BJ602</f>
        <v>28</v>
      </c>
      <c r="N160">
        <f>PLANURI!BK602</f>
        <v>0</v>
      </c>
      <c r="O160">
        <f>PLANURI!BL602</f>
        <v>0</v>
      </c>
      <c r="P160">
        <f>PLANURI!BM602</f>
        <v>0</v>
      </c>
      <c r="Q160">
        <f>PLANURI!BN602</f>
        <v>0</v>
      </c>
      <c r="R160">
        <f>PLANURI!BO602</f>
        <v>0</v>
      </c>
      <c r="S160">
        <f>PLANURI!BP602</f>
        <v>0</v>
      </c>
      <c r="T160">
        <f>PLANURI!BQ602</f>
        <v>5.0999999999999996</v>
      </c>
      <c r="U160">
        <f>PLANURI!BR602</f>
        <v>72</v>
      </c>
      <c r="V160">
        <f>PLANURI!BS602</f>
        <v>4</v>
      </c>
      <c r="W160" t="str">
        <f>PLANURI!BT602</f>
        <v>DD</v>
      </c>
      <c r="X160">
        <f>PLANURI!BU602</f>
        <v>7.1</v>
      </c>
      <c r="Y160">
        <f>PLANURI!BV602</f>
        <v>100</v>
      </c>
      <c r="Z160" t="str">
        <f>PLANURI!A$4</f>
        <v>Facultatea de Mecanică</v>
      </c>
      <c r="AA160" t="str">
        <f>PLANURI!H$6</f>
        <v xml:space="preserve"> Ştiinţe inginereşti</v>
      </c>
      <c r="AB160">
        <f>PLANURI!C$12</f>
        <v>130</v>
      </c>
      <c r="AC160" t="str">
        <f>PLANURI!H$9</f>
        <v>Tehnologia Constructiilor de Masini</v>
      </c>
      <c r="AD160">
        <f>PLANURI!A$12</f>
        <v>20</v>
      </c>
      <c r="AE160">
        <f>PLANURI!B$12</f>
        <v>70</v>
      </c>
      <c r="AF160">
        <f>PLANURI!D$12</f>
        <v>10</v>
      </c>
      <c r="AG160" t="str">
        <f>PLANURI!BW602</f>
        <v>2021</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130</v>
      </c>
      <c r="AC161" t="str">
        <f>PLANURI!H$9</f>
        <v>Tehnologia Constructiilor de Masini</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130</v>
      </c>
      <c r="AC162" t="str">
        <f>PLANURI!H$9</f>
        <v>Tehnologia Constructiilor de Masini</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130</v>
      </c>
      <c r="AC163" t="str">
        <f>PLANURI!H$9</f>
        <v>Tehnologia Constructiilor de Masini</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130</v>
      </c>
      <c r="AC164" t="str">
        <f>PLANURI!H$9</f>
        <v>Tehnologia Constructiilor de Masini</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130</v>
      </c>
      <c r="AC165" t="str">
        <f>PLANURI!H$9</f>
        <v>Tehnologia Constructiilor de Masini</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130</v>
      </c>
      <c r="AC166" t="str">
        <f>PLANURI!H$9</f>
        <v>Tehnologia Constructiilor de Masini</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130</v>
      </c>
      <c r="AC167" t="str">
        <f>PLANURI!H$9</f>
        <v>Tehnologia Constructiilor de Masini</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130</v>
      </c>
      <c r="AC168" t="str">
        <f>PLANURI!H$9</f>
        <v>Tehnologia Constructiilor de Masini</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130</v>
      </c>
      <c r="AC169" t="str">
        <f>PLANURI!H$9</f>
        <v>Tehnologia Constructiilor de Masini</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130</v>
      </c>
      <c r="AC170" t="str">
        <f>PLANURI!H$9</f>
        <v>Tehnologia Constructiilor de Masini</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130</v>
      </c>
      <c r="AC171" t="str">
        <f>PLANURI!H$9</f>
        <v>Tehnologia Constructiilor de Masini</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130</v>
      </c>
      <c r="AC172" t="str">
        <f>PLANURI!H$9</f>
        <v>Tehnologia Constructiilor de Masini</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130</v>
      </c>
      <c r="AC173" t="str">
        <f>PLANURI!H$9</f>
        <v>Tehnologia Constructiilor de Masini</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130</v>
      </c>
      <c r="AC174" t="str">
        <f>PLANURI!H$9</f>
        <v>Tehnologia Constructiilor de Masini</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130</v>
      </c>
      <c r="AC175" t="str">
        <f>PLANURI!H$9</f>
        <v>Tehnologia Constructiilor de Masini</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130</v>
      </c>
      <c r="AC176" t="str">
        <f>PLANURI!H$9</f>
        <v>Tehnologia Constructiilor de Masini</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130</v>
      </c>
      <c r="AC177" t="str">
        <f>PLANURI!H$9</f>
        <v>Tehnologia Constructiilor de Masini</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130</v>
      </c>
      <c r="AC178" t="str">
        <f>PLANURI!H$9</f>
        <v>Tehnologia Constructiilor de Masini</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130</v>
      </c>
      <c r="AC179" t="str">
        <f>PLANURI!H$9</f>
        <v>Tehnologia Constructiilor de Masini</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130</v>
      </c>
      <c r="AC180" t="str">
        <f>PLANURI!H$9</f>
        <v>Tehnologia Constructiilor de Masini</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130</v>
      </c>
      <c r="AC181" t="str">
        <f>PLANURI!H$9</f>
        <v>Tehnologia Constructiilor de Masini</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130</v>
      </c>
      <c r="AC182" t="str">
        <f>PLANURI!H$9</f>
        <v>Tehnologia Constructiilor de Masini</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130</v>
      </c>
      <c r="AC183" t="str">
        <f>PLANURI!H$9</f>
        <v>Tehnologia Constructiilor de Masini</v>
      </c>
      <c r="AD183">
        <f>PLANURI!A$12</f>
        <v>20</v>
      </c>
      <c r="AE183">
        <f>PLANURI!B$12</f>
        <v>70</v>
      </c>
      <c r="AF183">
        <f>PLANURI!D$12</f>
        <v>10</v>
      </c>
      <c r="AG183" t="str">
        <f>PLANURI!BW625</f>
        <v/>
      </c>
    </row>
    <row r="184" spans="1:33" x14ac:dyDescent="0.2">
      <c r="A184" t="str">
        <f>PLANURI!AX626</f>
        <v>L420.19.06.S4-01</v>
      </c>
      <c r="B184">
        <f>PLANURI!AY626</f>
        <v>1</v>
      </c>
      <c r="C184" t="str">
        <f>PLANURI!AZ626</f>
        <v>Opțional 3 independent 
Selecţia materialelor (*)</v>
      </c>
      <c r="D184">
        <f>PLANURI!BA626</f>
        <v>3</v>
      </c>
      <c r="E184" t="str">
        <f>PLANURI!BB626</f>
        <v>6</v>
      </c>
      <c r="F184" t="str">
        <f>PLANURI!BC626</f>
        <v>D</v>
      </c>
      <c r="G184" t="str">
        <f>PLANURI!BD626</f>
        <v>DO</v>
      </c>
      <c r="H184">
        <f>PLANURI!WL626</f>
        <v>0</v>
      </c>
      <c r="I184">
        <f>PLANURI!BF626</f>
        <v>2</v>
      </c>
      <c r="J184">
        <f>PLANURI!BG626</f>
        <v>2</v>
      </c>
      <c r="K184">
        <f>PLANURI!BH626</f>
        <v>0</v>
      </c>
      <c r="L184">
        <f>PLANURI!BI626</f>
        <v>28</v>
      </c>
      <c r="M184">
        <f>PLANURI!BJ626</f>
        <v>28</v>
      </c>
      <c r="N184">
        <f>PLANURI!BK626</f>
        <v>0</v>
      </c>
      <c r="O184">
        <f>PLANURI!BL626</f>
        <v>0</v>
      </c>
      <c r="P184">
        <f>PLANURI!BM626</f>
        <v>0</v>
      </c>
      <c r="Q184">
        <f>PLANURI!BN626</f>
        <v>0</v>
      </c>
      <c r="R184">
        <f>PLANURI!BO626</f>
        <v>0</v>
      </c>
      <c r="S184">
        <f>PLANURI!BP626</f>
        <v>0</v>
      </c>
      <c r="T184">
        <f>PLANURI!BQ626</f>
        <v>3.4</v>
      </c>
      <c r="U184">
        <f>PLANURI!BR626</f>
        <v>47</v>
      </c>
      <c r="V184">
        <f>PLANURI!BS626</f>
        <v>3</v>
      </c>
      <c r="W184" t="str">
        <f>PLANURI!BT626</f>
        <v>DD</v>
      </c>
      <c r="X184">
        <f>PLANURI!BU626</f>
        <v>5.4</v>
      </c>
      <c r="Y184">
        <f>PLANURI!BV626</f>
        <v>75</v>
      </c>
      <c r="Z184" t="str">
        <f>PLANURI!A$4</f>
        <v>Facultatea de Mecanică</v>
      </c>
      <c r="AA184" t="str">
        <f>PLANURI!H$6</f>
        <v xml:space="preserve"> Ştiinţe inginereşti</v>
      </c>
      <c r="AB184">
        <f>PLANURI!C$12</f>
        <v>130</v>
      </c>
      <c r="AC184" t="str">
        <f>PLANURI!H$9</f>
        <v>Tehnologia Constructiilor de Masini</v>
      </c>
      <c r="AD184">
        <f>PLANURI!A$12</f>
        <v>20</v>
      </c>
      <c r="AE184">
        <f>PLANURI!B$12</f>
        <v>70</v>
      </c>
      <c r="AF184">
        <f>PLANURI!D$12</f>
        <v>10</v>
      </c>
      <c r="AG184" t="str">
        <f>PLANURI!BW626</f>
        <v>2021</v>
      </c>
    </row>
    <row r="185" spans="1:33" x14ac:dyDescent="0.2">
      <c r="A185" t="str">
        <f>PLANURI!AX627</f>
        <v>L420.19.06.S4-02</v>
      </c>
      <c r="B185">
        <f>PLANURI!AY627</f>
        <v>2</v>
      </c>
      <c r="C185" t="str">
        <f>PLANURI!AZ627</f>
        <v>Opțional 3 independent                                                                        Controlul materialelor</v>
      </c>
      <c r="D185">
        <f>PLANURI!BA627</f>
        <v>3</v>
      </c>
      <c r="E185" t="str">
        <f>PLANURI!BB627</f>
        <v>6</v>
      </c>
      <c r="F185" t="str">
        <f>PLANURI!BC627</f>
        <v>D</v>
      </c>
      <c r="G185" t="str">
        <f>PLANURI!BD627</f>
        <v>DO</v>
      </c>
      <c r="H185">
        <f>PLANURI!BE627</f>
        <v>0</v>
      </c>
      <c r="I185">
        <f>PLANURI!BF627</f>
        <v>2</v>
      </c>
      <c r="J185">
        <f>PLANURI!BG627</f>
        <v>2</v>
      </c>
      <c r="K185">
        <f>PLANURI!BH627</f>
        <v>0</v>
      </c>
      <c r="L185">
        <f>PLANURI!BI627</f>
        <v>28</v>
      </c>
      <c r="M185">
        <f>PLANURI!BJ627</f>
        <v>28</v>
      </c>
      <c r="N185">
        <f>PLANURI!BK627</f>
        <v>0</v>
      </c>
      <c r="O185">
        <f>PLANURI!BL627</f>
        <v>0</v>
      </c>
      <c r="P185">
        <f>PLANURI!BM627</f>
        <v>0</v>
      </c>
      <c r="Q185">
        <f>PLANURI!BN627</f>
        <v>0</v>
      </c>
      <c r="R185">
        <f>PLANURI!BO627</f>
        <v>0</v>
      </c>
      <c r="S185">
        <f>PLANURI!BP627</f>
        <v>0</v>
      </c>
      <c r="T185">
        <f>PLANURI!BQ627</f>
        <v>3.4</v>
      </c>
      <c r="U185">
        <f>PLANURI!BR627</f>
        <v>47</v>
      </c>
      <c r="V185">
        <f>PLANURI!BS627</f>
        <v>3</v>
      </c>
      <c r="W185" t="str">
        <f>PLANURI!BT627</f>
        <v>DD</v>
      </c>
      <c r="X185">
        <f>PLANURI!BU627</f>
        <v>5.4</v>
      </c>
      <c r="Y185">
        <f>PLANURI!BV627</f>
        <v>75</v>
      </c>
      <c r="Z185" t="str">
        <f>PLANURI!A$4</f>
        <v>Facultatea de Mecanică</v>
      </c>
      <c r="AA185" t="str">
        <f>PLANURI!H$6</f>
        <v xml:space="preserve"> Ştiinţe inginereşti</v>
      </c>
      <c r="AB185">
        <f>PLANURI!C$12</f>
        <v>130</v>
      </c>
      <c r="AC185" t="str">
        <f>PLANURI!H$9</f>
        <v>Tehnologia Constructiilor de Masini</v>
      </c>
      <c r="AD185">
        <f>PLANURI!A$12</f>
        <v>20</v>
      </c>
      <c r="AE185">
        <f>PLANURI!B$12</f>
        <v>70</v>
      </c>
      <c r="AF185">
        <f>PLANURI!D$12</f>
        <v>10</v>
      </c>
      <c r="AG185" t="str">
        <f>PLANURI!BW627</f>
        <v>2021</v>
      </c>
    </row>
    <row r="186" spans="1:33" x14ac:dyDescent="0.2">
      <c r="A186" t="str">
        <f>PLANURI!AX628</f>
        <v>L420.19.06.D5-03</v>
      </c>
      <c r="B186">
        <f>PLANURI!AY628</f>
        <v>3</v>
      </c>
      <c r="C186" t="str">
        <f>PLANURI!AZ628</f>
        <v>Opțional 4 independent
Maşini unelte  (*)</v>
      </c>
      <c r="D186">
        <f>PLANURI!BA628</f>
        <v>3</v>
      </c>
      <c r="E186" t="str">
        <f>PLANURI!BB628</f>
        <v>6</v>
      </c>
      <c r="F186" t="str">
        <f>PLANURI!BC628</f>
        <v>E</v>
      </c>
      <c r="G186" t="str">
        <f>PLANURI!BD628</f>
        <v>DO</v>
      </c>
      <c r="H186">
        <f>PLANURI!WL628</f>
        <v>0</v>
      </c>
      <c r="I186">
        <f>PLANURI!BF628</f>
        <v>2</v>
      </c>
      <c r="J186">
        <f>PLANURI!BG628</f>
        <v>2</v>
      </c>
      <c r="K186">
        <f>PLANURI!BH628</f>
        <v>0</v>
      </c>
      <c r="L186">
        <f>PLANURI!BI628</f>
        <v>28</v>
      </c>
      <c r="M186">
        <f>PLANURI!BJ628</f>
        <v>28</v>
      </c>
      <c r="N186">
        <f>PLANURI!BK628</f>
        <v>0</v>
      </c>
      <c r="O186">
        <f>PLANURI!BL628</f>
        <v>0</v>
      </c>
      <c r="P186">
        <f>PLANURI!BM628</f>
        <v>0</v>
      </c>
      <c r="Q186">
        <f>PLANURI!BN628</f>
        <v>0</v>
      </c>
      <c r="R186">
        <f>PLANURI!BO628</f>
        <v>0</v>
      </c>
      <c r="S186">
        <f>PLANURI!BP628</f>
        <v>0</v>
      </c>
      <c r="T186">
        <f>PLANURI!BQ628</f>
        <v>5.0999999999999996</v>
      </c>
      <c r="U186">
        <f>PLANURI!BR628</f>
        <v>72</v>
      </c>
      <c r="V186">
        <f>PLANURI!BS628</f>
        <v>4</v>
      </c>
      <c r="W186" t="str">
        <f>PLANURI!BT628</f>
        <v>DD</v>
      </c>
      <c r="X186">
        <f>PLANURI!BU628</f>
        <v>7.1</v>
      </c>
      <c r="Y186">
        <f>PLANURI!BV628</f>
        <v>100</v>
      </c>
      <c r="Z186" t="str">
        <f>PLANURI!A$4</f>
        <v>Facultatea de Mecanică</v>
      </c>
      <c r="AA186" t="str">
        <f>PLANURI!H$6</f>
        <v xml:space="preserve"> Ştiinţe inginereşti</v>
      </c>
      <c r="AB186">
        <f>PLANURI!C$12</f>
        <v>130</v>
      </c>
      <c r="AC186" t="str">
        <f>PLANURI!H$9</f>
        <v>Tehnologia Constructiilor de Masini</v>
      </c>
      <c r="AD186">
        <f>PLANURI!A$12</f>
        <v>20</v>
      </c>
      <c r="AE186">
        <f>PLANURI!B$12</f>
        <v>70</v>
      </c>
      <c r="AF186">
        <f>PLANURI!D$12</f>
        <v>10</v>
      </c>
      <c r="AG186" t="str">
        <f>PLANURI!BW628</f>
        <v>2021</v>
      </c>
    </row>
    <row r="187" spans="1:33" x14ac:dyDescent="0.2">
      <c r="A187" t="str">
        <f>PLANURI!AX629</f>
        <v>L420.19.06.D5-04</v>
      </c>
      <c r="B187">
        <f>PLANURI!AY629</f>
        <v>4</v>
      </c>
      <c r="C187" t="str">
        <f>PLANURI!AZ629</f>
        <v>Opțional 4 independent 
Sisteme de prelucrare</v>
      </c>
      <c r="D187">
        <f>PLANURI!BA629</f>
        <v>3</v>
      </c>
      <c r="E187" t="str">
        <f>PLANURI!BB629</f>
        <v>6</v>
      </c>
      <c r="F187" t="str">
        <f>PLANURI!BC629</f>
        <v>E</v>
      </c>
      <c r="G187" t="str">
        <f>PLANURI!BD629</f>
        <v>DO</v>
      </c>
      <c r="H187">
        <f>PLANURI!BE629</f>
        <v>0</v>
      </c>
      <c r="I187">
        <f>PLANURI!BF629</f>
        <v>2</v>
      </c>
      <c r="J187">
        <f>PLANURI!BG629</f>
        <v>2</v>
      </c>
      <c r="K187">
        <f>PLANURI!BH629</f>
        <v>0</v>
      </c>
      <c r="L187">
        <f>PLANURI!BI629</f>
        <v>28</v>
      </c>
      <c r="M187">
        <f>PLANURI!BJ629</f>
        <v>28</v>
      </c>
      <c r="N187">
        <f>PLANURI!BK629</f>
        <v>0</v>
      </c>
      <c r="O187">
        <f>PLANURI!BL629</f>
        <v>0</v>
      </c>
      <c r="P187">
        <f>PLANURI!BM629</f>
        <v>0</v>
      </c>
      <c r="Q187">
        <f>PLANURI!BN629</f>
        <v>0</v>
      </c>
      <c r="R187">
        <f>PLANURI!BO629</f>
        <v>0</v>
      </c>
      <c r="S187">
        <f>PLANURI!BP629</f>
        <v>0</v>
      </c>
      <c r="T187">
        <f>PLANURI!BQ629</f>
        <v>5.0999999999999996</v>
      </c>
      <c r="U187">
        <f>PLANURI!BR629</f>
        <v>72</v>
      </c>
      <c r="V187">
        <f>PLANURI!BS629</f>
        <v>4</v>
      </c>
      <c r="W187" t="str">
        <f>PLANURI!BT629</f>
        <v>DD</v>
      </c>
      <c r="X187">
        <f>PLANURI!BU629</f>
        <v>7.1</v>
      </c>
      <c r="Y187">
        <f>PLANURI!BV629</f>
        <v>100</v>
      </c>
      <c r="Z187" t="str">
        <f>PLANURI!A$4</f>
        <v>Facultatea de Mecanică</v>
      </c>
      <c r="AA187" t="str">
        <f>PLANURI!H$6</f>
        <v xml:space="preserve"> Ştiinţe inginereşti</v>
      </c>
      <c r="AB187">
        <f>PLANURI!C$12</f>
        <v>130</v>
      </c>
      <c r="AC187" t="str">
        <f>PLANURI!H$9</f>
        <v>Tehnologia Constructiilor de Masini</v>
      </c>
      <c r="AD187">
        <f>PLANURI!A$12</f>
        <v>20</v>
      </c>
      <c r="AE187">
        <f>PLANURI!B$12</f>
        <v>70</v>
      </c>
      <c r="AF187">
        <f>PLANURI!D$12</f>
        <v>10</v>
      </c>
      <c r="AG187" t="str">
        <f>PLANURI!BW629</f>
        <v>2021</v>
      </c>
    </row>
    <row r="188" spans="1:33" x14ac:dyDescent="0.2">
      <c r="A188" t="str">
        <f>PLANURI!AX630</f>
        <v>L420.19.06.D6-05</v>
      </c>
      <c r="B188">
        <f>PLANURI!AY630</f>
        <v>5</v>
      </c>
      <c r="C188" t="str">
        <f>PLANURI!AZ630</f>
        <v>Opțional 5 independent 
Ingineria calităţii (*)</v>
      </c>
      <c r="D188">
        <f>PLANURI!BA630</f>
        <v>3</v>
      </c>
      <c r="E188" t="str">
        <f>PLANURI!BB630</f>
        <v>6</v>
      </c>
      <c r="F188" t="str">
        <f>PLANURI!BC630</f>
        <v>E</v>
      </c>
      <c r="G188" t="str">
        <f>PLANURI!BD630</f>
        <v>DO</v>
      </c>
      <c r="H188">
        <f>PLANURI!WL630</f>
        <v>0</v>
      </c>
      <c r="I188">
        <f>PLANURI!BF630</f>
        <v>2</v>
      </c>
      <c r="J188">
        <f>PLANURI!BG630</f>
        <v>2</v>
      </c>
      <c r="K188">
        <f>PLANURI!BH630</f>
        <v>0</v>
      </c>
      <c r="L188">
        <f>PLANURI!BI630</f>
        <v>28</v>
      </c>
      <c r="M188">
        <f>PLANURI!BJ630</f>
        <v>28</v>
      </c>
      <c r="N188">
        <f>PLANURI!BK630</f>
        <v>0</v>
      </c>
      <c r="O188">
        <f>PLANURI!BL630</f>
        <v>0</v>
      </c>
      <c r="P188">
        <f>PLANURI!BM630</f>
        <v>0</v>
      </c>
      <c r="Q188">
        <f>PLANURI!BN630</f>
        <v>0</v>
      </c>
      <c r="R188">
        <f>PLANURI!BO630</f>
        <v>0</v>
      </c>
      <c r="S188">
        <f>PLANURI!BP630</f>
        <v>0</v>
      </c>
      <c r="T188">
        <f>PLANURI!BQ630</f>
        <v>5.0999999999999996</v>
      </c>
      <c r="U188">
        <f>PLANURI!BR630</f>
        <v>72</v>
      </c>
      <c r="V188">
        <f>PLANURI!BS630</f>
        <v>4</v>
      </c>
      <c r="W188" t="str">
        <f>PLANURI!BT630</f>
        <v>DD</v>
      </c>
      <c r="X188">
        <f>PLANURI!BU630</f>
        <v>7.1</v>
      </c>
      <c r="Y188">
        <f>PLANURI!BV630</f>
        <v>100</v>
      </c>
      <c r="Z188" t="str">
        <f>PLANURI!A$4</f>
        <v>Facultatea de Mecanică</v>
      </c>
      <c r="AA188" t="str">
        <f>PLANURI!H$6</f>
        <v xml:space="preserve"> Ştiinţe inginereşti</v>
      </c>
      <c r="AB188">
        <f>PLANURI!C$12</f>
        <v>130</v>
      </c>
      <c r="AC188" t="str">
        <f>PLANURI!H$9</f>
        <v>Tehnologia Constructiilor de Masini</v>
      </c>
      <c r="AD188">
        <f>PLANURI!A$12</f>
        <v>20</v>
      </c>
      <c r="AE188">
        <f>PLANURI!B$12</f>
        <v>70</v>
      </c>
      <c r="AF188">
        <f>PLANURI!D$12</f>
        <v>10</v>
      </c>
      <c r="AG188" t="str">
        <f>PLANURI!BW630</f>
        <v>2021</v>
      </c>
    </row>
    <row r="189" spans="1:33" x14ac:dyDescent="0.2">
      <c r="A189" t="str">
        <f>PLANURI!AX631</f>
        <v>L420.19.06.D6-06</v>
      </c>
      <c r="B189">
        <f>PLANURI!AY631</f>
        <v>6</v>
      </c>
      <c r="C189" t="str">
        <f>PLANURI!AZ631</f>
        <v>Opțional 5 independent                                                              Managementul calităţii</v>
      </c>
      <c r="D189">
        <f>PLANURI!BA631</f>
        <v>3</v>
      </c>
      <c r="E189" t="str">
        <f>PLANURI!BB631</f>
        <v>6</v>
      </c>
      <c r="F189" t="str">
        <f>PLANURI!BC631</f>
        <v>E</v>
      </c>
      <c r="G189" t="str">
        <f>PLANURI!BD631</f>
        <v>DO</v>
      </c>
      <c r="H189">
        <f>PLANURI!BE631</f>
        <v>0</v>
      </c>
      <c r="I189">
        <f>PLANURI!BF631</f>
        <v>2</v>
      </c>
      <c r="J189">
        <f>PLANURI!BG631</f>
        <v>2</v>
      </c>
      <c r="K189">
        <f>PLANURI!BH631</f>
        <v>0</v>
      </c>
      <c r="L189">
        <f>PLANURI!BI631</f>
        <v>28</v>
      </c>
      <c r="M189">
        <f>PLANURI!BJ631</f>
        <v>28</v>
      </c>
      <c r="N189">
        <f>PLANURI!BK631</f>
        <v>0</v>
      </c>
      <c r="O189">
        <f>PLANURI!BL631</f>
        <v>0</v>
      </c>
      <c r="P189">
        <f>PLANURI!BM631</f>
        <v>0</v>
      </c>
      <c r="Q189">
        <f>PLANURI!BN631</f>
        <v>0</v>
      </c>
      <c r="R189">
        <f>PLANURI!BO631</f>
        <v>0</v>
      </c>
      <c r="S189">
        <f>PLANURI!BP631</f>
        <v>0</v>
      </c>
      <c r="T189">
        <f>PLANURI!BQ631</f>
        <v>5.0999999999999996</v>
      </c>
      <c r="U189">
        <f>PLANURI!BR631</f>
        <v>72</v>
      </c>
      <c r="V189">
        <f>PLANURI!BS631</f>
        <v>4</v>
      </c>
      <c r="W189" t="str">
        <f>PLANURI!BT631</f>
        <v>DD</v>
      </c>
      <c r="X189">
        <f>PLANURI!BU631</f>
        <v>7.1</v>
      </c>
      <c r="Y189">
        <f>PLANURI!BV631</f>
        <v>100</v>
      </c>
      <c r="Z189" t="str">
        <f>PLANURI!A$4</f>
        <v>Facultatea de Mecanică</v>
      </c>
      <c r="AA189" t="str">
        <f>PLANURI!H$6</f>
        <v xml:space="preserve"> Ştiinţe inginereşti</v>
      </c>
      <c r="AB189">
        <f>PLANURI!C$12</f>
        <v>130</v>
      </c>
      <c r="AC189" t="str">
        <f>PLANURI!H$9</f>
        <v>Tehnologia Constructiilor de Masini</v>
      </c>
      <c r="AD189">
        <f>PLANURI!A$12</f>
        <v>20</v>
      </c>
      <c r="AE189">
        <f>PLANURI!B$12</f>
        <v>70</v>
      </c>
      <c r="AF189">
        <f>PLANURI!D$12</f>
        <v>10</v>
      </c>
      <c r="AG189" t="str">
        <f>PLANURI!BW631</f>
        <v>2021</v>
      </c>
    </row>
    <row r="190" spans="1:33" x14ac:dyDescent="0.2">
      <c r="A190" t="str">
        <f>PLANURI!AX632</f>
        <v>L420.19.06.S7-07</v>
      </c>
      <c r="B190">
        <f>PLANURI!AY632</f>
        <v>7</v>
      </c>
      <c r="C190" t="str">
        <f>PLANURI!AZ632</f>
        <v>Opțional 6 independent  
Acoperiri termice şi recondiţonări (*)</v>
      </c>
      <c r="D190">
        <f>PLANURI!BA632</f>
        <v>3</v>
      </c>
      <c r="E190" t="str">
        <f>PLANURI!BB632</f>
        <v>6</v>
      </c>
      <c r="F190" t="str">
        <f>PLANURI!BC632</f>
        <v>E</v>
      </c>
      <c r="G190" t="str">
        <f>PLANURI!BD632</f>
        <v>DO</v>
      </c>
      <c r="H190">
        <f>PLANURI!WL632</f>
        <v>0</v>
      </c>
      <c r="I190">
        <f>PLANURI!BF632</f>
        <v>2</v>
      </c>
      <c r="J190">
        <f>PLANURI!BG632</f>
        <v>2</v>
      </c>
      <c r="K190">
        <f>PLANURI!BH632</f>
        <v>0</v>
      </c>
      <c r="L190">
        <f>PLANURI!BI632</f>
        <v>28</v>
      </c>
      <c r="M190">
        <f>PLANURI!BJ632</f>
        <v>28</v>
      </c>
      <c r="N190">
        <f>PLANURI!BK632</f>
        <v>0</v>
      </c>
      <c r="O190">
        <f>PLANURI!BL632</f>
        <v>0</v>
      </c>
      <c r="P190">
        <f>PLANURI!BM632</f>
        <v>0</v>
      </c>
      <c r="Q190">
        <f>PLANURI!BN632</f>
        <v>0</v>
      </c>
      <c r="R190">
        <f>PLANURI!BO632</f>
        <v>0</v>
      </c>
      <c r="S190">
        <f>PLANURI!BP632</f>
        <v>0</v>
      </c>
      <c r="T190">
        <f>PLANURI!BQ632</f>
        <v>5.0999999999999996</v>
      </c>
      <c r="U190">
        <f>PLANURI!BR632</f>
        <v>72</v>
      </c>
      <c r="V190">
        <f>PLANURI!BS632</f>
        <v>4</v>
      </c>
      <c r="W190" t="str">
        <f>PLANURI!BT632</f>
        <v>DS</v>
      </c>
      <c r="X190">
        <f>PLANURI!BU632</f>
        <v>7.1</v>
      </c>
      <c r="Y190">
        <f>PLANURI!BV632</f>
        <v>100</v>
      </c>
      <c r="Z190" t="str">
        <f>PLANURI!A$4</f>
        <v>Facultatea de Mecanică</v>
      </c>
      <c r="AA190" t="str">
        <f>PLANURI!H$6</f>
        <v xml:space="preserve"> Ştiinţe inginereşti</v>
      </c>
      <c r="AB190">
        <f>PLANURI!C$12</f>
        <v>130</v>
      </c>
      <c r="AC190" t="str">
        <f>PLANURI!H$9</f>
        <v>Tehnologia Constructiilor de Masini</v>
      </c>
      <c r="AD190">
        <f>PLANURI!A$12</f>
        <v>20</v>
      </c>
      <c r="AE190">
        <f>PLANURI!B$12</f>
        <v>70</v>
      </c>
      <c r="AF190">
        <f>PLANURI!D$12</f>
        <v>10</v>
      </c>
      <c r="AG190" t="str">
        <f>PLANURI!BW632</f>
        <v>2021</v>
      </c>
    </row>
    <row r="191" spans="1:33" x14ac:dyDescent="0.2">
      <c r="A191" t="str">
        <f>PLANURI!AX633</f>
        <v>L420.19.06.S7-08</v>
      </c>
      <c r="B191">
        <f>PLANURI!AY633</f>
        <v>8</v>
      </c>
      <c r="C191" t="str">
        <f>PLANURI!AZ633</f>
        <v>Opțional 6 independent  
Protecţii anticorozive</v>
      </c>
      <c r="D191">
        <f>PLANURI!BA633</f>
        <v>3</v>
      </c>
      <c r="E191" t="str">
        <f>PLANURI!BB633</f>
        <v>6</v>
      </c>
      <c r="F191" t="str">
        <f>PLANURI!BC633</f>
        <v>E</v>
      </c>
      <c r="G191" t="str">
        <f>PLANURI!BD633</f>
        <v>DO</v>
      </c>
      <c r="H191">
        <f>PLANURI!BE633</f>
        <v>0</v>
      </c>
      <c r="I191">
        <f>PLANURI!BF633</f>
        <v>2</v>
      </c>
      <c r="J191">
        <f>PLANURI!BG633</f>
        <v>2</v>
      </c>
      <c r="K191">
        <f>PLANURI!BH633</f>
        <v>0</v>
      </c>
      <c r="L191">
        <f>PLANURI!BI633</f>
        <v>28</v>
      </c>
      <c r="M191">
        <f>PLANURI!BJ633</f>
        <v>28</v>
      </c>
      <c r="N191">
        <f>PLANURI!BK633</f>
        <v>0</v>
      </c>
      <c r="O191">
        <f>PLANURI!BL633</f>
        <v>0</v>
      </c>
      <c r="P191">
        <f>PLANURI!BM633</f>
        <v>0</v>
      </c>
      <c r="Q191">
        <f>PLANURI!BN633</f>
        <v>0</v>
      </c>
      <c r="R191">
        <f>PLANURI!BO633</f>
        <v>0</v>
      </c>
      <c r="S191">
        <f>PLANURI!BP633</f>
        <v>0</v>
      </c>
      <c r="T191">
        <f>PLANURI!BQ633</f>
        <v>5.0999999999999996</v>
      </c>
      <c r="U191">
        <f>PLANURI!BR633</f>
        <v>72</v>
      </c>
      <c r="V191">
        <f>PLANURI!BS633</f>
        <v>4</v>
      </c>
      <c r="W191" t="str">
        <f>PLANURI!BT633</f>
        <v>DS</v>
      </c>
      <c r="X191">
        <f>PLANURI!BU633</f>
        <v>7.1</v>
      </c>
      <c r="Y191">
        <f>PLANURI!BV633</f>
        <v>100</v>
      </c>
      <c r="Z191" t="str">
        <f>PLANURI!A$4</f>
        <v>Facultatea de Mecanică</v>
      </c>
      <c r="AA191" t="str">
        <f>PLANURI!H$6</f>
        <v xml:space="preserve"> Ştiinţe inginereşti</v>
      </c>
      <c r="AB191">
        <f>PLANURI!C$12</f>
        <v>130</v>
      </c>
      <c r="AC191" t="str">
        <f>PLANURI!H$9</f>
        <v>Tehnologia Constructiilor de Masini</v>
      </c>
      <c r="AD191">
        <f>PLANURI!A$12</f>
        <v>20</v>
      </c>
      <c r="AE191">
        <f>PLANURI!B$12</f>
        <v>70</v>
      </c>
      <c r="AF191">
        <f>PLANURI!D$12</f>
        <v>10</v>
      </c>
      <c r="AG191" t="str">
        <f>PLANURI!BW633</f>
        <v>2021</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130</v>
      </c>
      <c r="AC192" t="str">
        <f>PLANURI!H$9</f>
        <v>Tehnologia Constructiilor de Masini</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130</v>
      </c>
      <c r="AC193" t="str">
        <f>PLANURI!H$9</f>
        <v>Tehnologia Constructiilor de Masini</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130</v>
      </c>
      <c r="AC194" t="str">
        <f>PLANURI!H$9</f>
        <v>Tehnologia Constructiilor de Masini</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130</v>
      </c>
      <c r="AC195" t="str">
        <f>PLANURI!H$9</f>
        <v>Tehnologia Constructiilor de Masini</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130</v>
      </c>
      <c r="AC196" t="str">
        <f>PLANURI!H$9</f>
        <v>Tehnologia Constructiilor de Masini</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130</v>
      </c>
      <c r="AC197" t="str">
        <f>PLANURI!H$9</f>
        <v>Tehnologia Constructiilor de Masini</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130</v>
      </c>
      <c r="AC198" t="str">
        <f>PLANURI!H$9</f>
        <v>Tehnologia Constructiilor de Masini</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130</v>
      </c>
      <c r="AC199" t="str">
        <f>PLANURI!H$9</f>
        <v>Tehnologia Constructiilor de Masini</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130</v>
      </c>
      <c r="AC200" t="str">
        <f>PLANURI!H$9</f>
        <v>Tehnologia Constructiilor de Masini</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130</v>
      </c>
      <c r="AC201" t="str">
        <f>PLANURI!H$9</f>
        <v>Tehnologia Constructiilor de Masini</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130</v>
      </c>
      <c r="AC202" t="str">
        <f>PLANURI!H$9</f>
        <v>Tehnologia Constructiilor de Masini</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130</v>
      </c>
      <c r="AC203" t="str">
        <f>PLANURI!H$9</f>
        <v>Tehnologia Constructiilor de Masini</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130</v>
      </c>
      <c r="AC204" t="str">
        <f>PLANURI!H$9</f>
        <v>Tehnologia Constructiilor de Masini</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130</v>
      </c>
      <c r="AC205" t="str">
        <f>PLANURI!H$9</f>
        <v>Tehnologia Constructiilor de Masini</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130</v>
      </c>
      <c r="AC206" t="str">
        <f>PLANURI!H$9</f>
        <v>Tehnologia Constructiilor de Masini</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130</v>
      </c>
      <c r="AC207" t="str">
        <f>PLANURI!H$9</f>
        <v>Tehnologia Constructiilor de Masini</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130</v>
      </c>
      <c r="AC208" t="str">
        <f>PLANURI!H$9</f>
        <v>Tehnologia Constructiilor de Masini</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130</v>
      </c>
      <c r="AC209" t="str">
        <f>PLANURI!H$9</f>
        <v>Tehnologia Constructiilor de Masini</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130</v>
      </c>
      <c r="AC210" t="str">
        <f>PLANURI!H$9</f>
        <v>Tehnologia Constructiilor de Masini</v>
      </c>
      <c r="AD210">
        <f>PLANURI!A$12</f>
        <v>20</v>
      </c>
      <c r="AE210">
        <f>PLANURI!B$12</f>
        <v>70</v>
      </c>
      <c r="AF210">
        <f>PLANURI!D$12</f>
        <v>10</v>
      </c>
      <c r="AG210" t="str">
        <f>PLANURI!BW652</f>
        <v/>
      </c>
    </row>
    <row r="211" spans="1:33" x14ac:dyDescent="0.2">
      <c r="A211" t="str">
        <f>PLANURI!AX653</f>
        <v>L420.19.07.S1-01</v>
      </c>
      <c r="B211">
        <f>PLANURI!AY653</f>
        <v>1</v>
      </c>
      <c r="C211" t="str">
        <f>PLANURI!AZ653</f>
        <v>Opțional 7 independent 
Tehnologia fabricarii produselor (*)</v>
      </c>
      <c r="D211">
        <f>PLANURI!BA653</f>
        <v>4</v>
      </c>
      <c r="E211" t="str">
        <f>PLANURI!BB653</f>
        <v>7</v>
      </c>
      <c r="F211" t="str">
        <f>PLANURI!BC653</f>
        <v>E</v>
      </c>
      <c r="G211" t="str">
        <f>PLANURI!BD653</f>
        <v>DO</v>
      </c>
      <c r="H211">
        <f>PLANURI!BE653</f>
        <v>0</v>
      </c>
      <c r="I211">
        <f>PLANURI!BF653</f>
        <v>2</v>
      </c>
      <c r="J211">
        <f>PLANURI!BG653</f>
        <v>2</v>
      </c>
      <c r="K211">
        <f>PLANURI!BH653</f>
        <v>0</v>
      </c>
      <c r="L211">
        <f>PLANURI!BI653</f>
        <v>28</v>
      </c>
      <c r="M211">
        <f>PLANURI!BJ653</f>
        <v>28</v>
      </c>
      <c r="N211">
        <f>PLANURI!BK653</f>
        <v>0</v>
      </c>
      <c r="O211">
        <f>PLANURI!BL653</f>
        <v>0</v>
      </c>
      <c r="P211">
        <f>PLANURI!BM653</f>
        <v>0</v>
      </c>
      <c r="Q211">
        <f>PLANURI!BN653</f>
        <v>0</v>
      </c>
      <c r="R211">
        <f>PLANURI!BO653</f>
        <v>0</v>
      </c>
      <c r="S211">
        <f>PLANURI!BP653</f>
        <v>0</v>
      </c>
      <c r="T211">
        <f>PLANURI!BQ653</f>
        <v>6.9</v>
      </c>
      <c r="U211">
        <f>PLANURI!BR653</f>
        <v>97</v>
      </c>
      <c r="V211">
        <f>PLANURI!BS653</f>
        <v>5</v>
      </c>
      <c r="W211" t="str">
        <f>PLANURI!BT653</f>
        <v>DS</v>
      </c>
      <c r="X211">
        <f>PLANURI!BU653</f>
        <v>8.9</v>
      </c>
      <c r="Y211">
        <f>PLANURI!BV653</f>
        <v>125</v>
      </c>
      <c r="Z211" t="str">
        <f>PLANURI!A$4</f>
        <v>Facultatea de Mecanică</v>
      </c>
      <c r="AA211" t="str">
        <f>PLANURI!H$6</f>
        <v xml:space="preserve"> Ştiinţe inginereşti</v>
      </c>
      <c r="AB211">
        <f>PLANURI!C$12</f>
        <v>130</v>
      </c>
      <c r="AC211" t="str">
        <f>PLANURI!H$9</f>
        <v>Tehnologia Constructiilor de Masini</v>
      </c>
      <c r="AD211">
        <f>PLANURI!A$12</f>
        <v>20</v>
      </c>
      <c r="AE211">
        <f>PLANURI!B$12</f>
        <v>70</v>
      </c>
      <c r="AF211">
        <f>PLANURI!D$12</f>
        <v>10</v>
      </c>
      <c r="AG211" t="str">
        <f>PLANURI!BW653</f>
        <v>2022</v>
      </c>
    </row>
    <row r="212" spans="1:33" x14ac:dyDescent="0.2">
      <c r="A212" t="str">
        <f>PLANURI!AX654</f>
        <v>L420.19.07.S1-02</v>
      </c>
      <c r="B212">
        <f>PLANURI!AY654</f>
        <v>2</v>
      </c>
      <c r="C212" t="str">
        <f>PLANURI!AZ654</f>
        <v>Opțional 7 independent 
Tehnologia constructiei de masini</v>
      </c>
      <c r="D212">
        <f>PLANURI!BA654</f>
        <v>4</v>
      </c>
      <c r="E212" t="str">
        <f>PLANURI!BB654</f>
        <v>7</v>
      </c>
      <c r="F212" t="str">
        <f>PLANURI!BC654</f>
        <v>E</v>
      </c>
      <c r="G212" t="str">
        <f>PLANURI!BD654</f>
        <v>DO</v>
      </c>
      <c r="H212">
        <f>PLANURI!WL654</f>
        <v>0</v>
      </c>
      <c r="I212">
        <f>PLANURI!BF654</f>
        <v>2</v>
      </c>
      <c r="J212">
        <f>PLANURI!BG654</f>
        <v>2</v>
      </c>
      <c r="K212">
        <f>PLANURI!BH654</f>
        <v>0</v>
      </c>
      <c r="L212">
        <f>PLANURI!BI654</f>
        <v>28</v>
      </c>
      <c r="M212">
        <f>PLANURI!BJ654</f>
        <v>28</v>
      </c>
      <c r="N212">
        <f>PLANURI!BK654</f>
        <v>0</v>
      </c>
      <c r="O212">
        <f>PLANURI!BL654</f>
        <v>0</v>
      </c>
      <c r="P212">
        <f>PLANURI!BM654</f>
        <v>0</v>
      </c>
      <c r="Q212">
        <f>PLANURI!BN654</f>
        <v>0</v>
      </c>
      <c r="R212">
        <f>PLANURI!BO654</f>
        <v>0</v>
      </c>
      <c r="S212">
        <f>PLANURI!BP654</f>
        <v>0</v>
      </c>
      <c r="T212">
        <f>PLANURI!BQ654</f>
        <v>6.9</v>
      </c>
      <c r="U212">
        <f>PLANURI!BR654</f>
        <v>97</v>
      </c>
      <c r="V212">
        <f>PLANURI!BS654</f>
        <v>5</v>
      </c>
      <c r="W212" t="str">
        <f>PLANURI!BT654</f>
        <v>DS</v>
      </c>
      <c r="X212">
        <f>PLANURI!BU654</f>
        <v>8.9</v>
      </c>
      <c r="Y212">
        <f>PLANURI!BV654</f>
        <v>125</v>
      </c>
      <c r="Z212" t="str">
        <f>PLANURI!A$4</f>
        <v>Facultatea de Mecanică</v>
      </c>
      <c r="AA212" t="str">
        <f>PLANURI!H$6</f>
        <v xml:space="preserve"> Ştiinţe inginereşti</v>
      </c>
      <c r="AB212">
        <f>PLANURI!C$12</f>
        <v>130</v>
      </c>
      <c r="AC212" t="str">
        <f>PLANURI!H$9</f>
        <v>Tehnologia Constructiilor de Masini</v>
      </c>
      <c r="AD212">
        <f>PLANURI!A$12</f>
        <v>20</v>
      </c>
      <c r="AE212">
        <f>PLANURI!B$12</f>
        <v>70</v>
      </c>
      <c r="AF212">
        <f>PLANURI!D$12</f>
        <v>10</v>
      </c>
      <c r="AG212" t="str">
        <f>PLANURI!BW654</f>
        <v>2022</v>
      </c>
    </row>
    <row r="213" spans="1:33" x14ac:dyDescent="0.2">
      <c r="A213" t="str">
        <f>PLANURI!AX655</f>
        <v>L420.19.07.S2-03</v>
      </c>
      <c r="B213">
        <f>PLANURI!AY655</f>
        <v>3</v>
      </c>
      <c r="C213" t="str">
        <f>PLANURI!AZ655</f>
        <v>Opțional 8 independent 
Servomecanisme, traductori si senzori  (*)</v>
      </c>
      <c r="D213">
        <f>PLANURI!BA655</f>
        <v>4</v>
      </c>
      <c r="E213" t="str">
        <f>PLANURI!BB655</f>
        <v>7</v>
      </c>
      <c r="F213" t="str">
        <f>PLANURI!BC655</f>
        <v>E</v>
      </c>
      <c r="G213" t="str">
        <f>PLANURI!BD655</f>
        <v>DO</v>
      </c>
      <c r="H213">
        <f>PLANURI!BE655</f>
        <v>0</v>
      </c>
      <c r="I213">
        <f>PLANURI!BF655</f>
        <v>2</v>
      </c>
      <c r="J213">
        <f>PLANURI!BG655</f>
        <v>2</v>
      </c>
      <c r="K213">
        <f>PLANURI!BH655</f>
        <v>0</v>
      </c>
      <c r="L213">
        <f>PLANURI!BI655</f>
        <v>28</v>
      </c>
      <c r="M213">
        <f>PLANURI!BJ655</f>
        <v>28</v>
      </c>
      <c r="N213">
        <f>PLANURI!BK655</f>
        <v>0</v>
      </c>
      <c r="O213">
        <f>PLANURI!BL655</f>
        <v>0</v>
      </c>
      <c r="P213">
        <f>PLANURI!BM655</f>
        <v>0</v>
      </c>
      <c r="Q213">
        <f>PLANURI!BN655</f>
        <v>0</v>
      </c>
      <c r="R213">
        <f>PLANURI!BO655</f>
        <v>0</v>
      </c>
      <c r="S213">
        <f>PLANURI!BP655</f>
        <v>0</v>
      </c>
      <c r="T213">
        <f>PLANURI!BQ655</f>
        <v>6.9</v>
      </c>
      <c r="U213">
        <f>PLANURI!BR655</f>
        <v>97</v>
      </c>
      <c r="V213">
        <f>PLANURI!BS655</f>
        <v>5</v>
      </c>
      <c r="W213" t="str">
        <f>PLANURI!BT655</f>
        <v>DS</v>
      </c>
      <c r="X213">
        <f>PLANURI!BU655</f>
        <v>8.9</v>
      </c>
      <c r="Y213">
        <f>PLANURI!BV655</f>
        <v>125</v>
      </c>
      <c r="Z213" t="str">
        <f>PLANURI!A$4</f>
        <v>Facultatea de Mecanică</v>
      </c>
      <c r="AA213" t="str">
        <f>PLANURI!H$6</f>
        <v xml:space="preserve"> Ştiinţe inginereşti</v>
      </c>
      <c r="AB213">
        <f>PLANURI!C$12</f>
        <v>130</v>
      </c>
      <c r="AC213" t="str">
        <f>PLANURI!H$9</f>
        <v>Tehnologia Constructiilor de Masini</v>
      </c>
      <c r="AD213">
        <f>PLANURI!A$12</f>
        <v>20</v>
      </c>
      <c r="AE213">
        <f>PLANURI!B$12</f>
        <v>70</v>
      </c>
      <c r="AF213">
        <f>PLANURI!D$12</f>
        <v>10</v>
      </c>
      <c r="AG213" t="str">
        <f>PLANURI!BW655</f>
        <v>2022</v>
      </c>
    </row>
    <row r="214" spans="1:33" x14ac:dyDescent="0.2">
      <c r="A214" t="str">
        <f>PLANURI!AX656</f>
        <v>L420.19.07.S2-04</v>
      </c>
      <c r="B214">
        <f>PLANURI!AY656</f>
        <v>4</v>
      </c>
      <c r="C214" t="str">
        <f>PLANURI!AZ656</f>
        <v>Opțional 8 independent 
Actionarea utilajelor de prelucrare</v>
      </c>
      <c r="D214">
        <f>PLANURI!BA656</f>
        <v>4</v>
      </c>
      <c r="E214" t="str">
        <f>PLANURI!BB656</f>
        <v>7</v>
      </c>
      <c r="F214" t="str">
        <f>PLANURI!BC656</f>
        <v>E</v>
      </c>
      <c r="G214" t="str">
        <f>PLANURI!BD656</f>
        <v>DO</v>
      </c>
      <c r="H214">
        <f>PLANURI!WL656</f>
        <v>0</v>
      </c>
      <c r="I214">
        <f>PLANURI!BF656</f>
        <v>2</v>
      </c>
      <c r="J214">
        <f>PLANURI!BG656</f>
        <v>2</v>
      </c>
      <c r="K214">
        <f>PLANURI!BH656</f>
        <v>0</v>
      </c>
      <c r="L214">
        <f>PLANURI!BI656</f>
        <v>28</v>
      </c>
      <c r="M214">
        <f>PLANURI!BJ656</f>
        <v>28</v>
      </c>
      <c r="N214">
        <f>PLANURI!BK656</f>
        <v>0</v>
      </c>
      <c r="O214">
        <f>PLANURI!BL656</f>
        <v>0</v>
      </c>
      <c r="P214">
        <f>PLANURI!BM656</f>
        <v>0</v>
      </c>
      <c r="Q214">
        <f>PLANURI!BN656</f>
        <v>0</v>
      </c>
      <c r="R214">
        <f>PLANURI!BO656</f>
        <v>0</v>
      </c>
      <c r="S214">
        <f>PLANURI!BP656</f>
        <v>0</v>
      </c>
      <c r="T214">
        <f>PLANURI!BQ656</f>
        <v>6.9</v>
      </c>
      <c r="U214">
        <f>PLANURI!BR656</f>
        <v>97</v>
      </c>
      <c r="V214">
        <f>PLANURI!BS656</f>
        <v>5</v>
      </c>
      <c r="W214" t="str">
        <f>PLANURI!BT656</f>
        <v>DS</v>
      </c>
      <c r="X214">
        <f>PLANURI!BU656</f>
        <v>8.9</v>
      </c>
      <c r="Y214">
        <f>PLANURI!BV656</f>
        <v>125</v>
      </c>
      <c r="Z214" t="str">
        <f>PLANURI!A$4</f>
        <v>Facultatea de Mecanică</v>
      </c>
      <c r="AA214" t="str">
        <f>PLANURI!H$6</f>
        <v xml:space="preserve"> Ştiinţe inginereşti</v>
      </c>
      <c r="AB214">
        <f>PLANURI!C$12</f>
        <v>130</v>
      </c>
      <c r="AC214" t="str">
        <f>PLANURI!H$9</f>
        <v>Tehnologia Constructiilor de Masini</v>
      </c>
      <c r="AD214">
        <f>PLANURI!A$12</f>
        <v>20</v>
      </c>
      <c r="AE214">
        <f>PLANURI!B$12</f>
        <v>70</v>
      </c>
      <c r="AF214">
        <f>PLANURI!D$12</f>
        <v>10</v>
      </c>
      <c r="AG214" t="str">
        <f>PLANURI!BW656</f>
        <v>2022</v>
      </c>
    </row>
    <row r="215" spans="1:33" x14ac:dyDescent="0.2">
      <c r="A215" t="str">
        <f>PLANURI!AX657</f>
        <v>L420.19.07.S3-05</v>
      </c>
      <c r="B215">
        <f>PLANURI!AY657</f>
        <v>5</v>
      </c>
      <c r="C215" t="str">
        <f>PLANURI!AZ657</f>
        <v>Opțional 9 independent 
Inovare si comunicare profesionala (*)</v>
      </c>
      <c r="D215">
        <f>PLANURI!BA657</f>
        <v>4</v>
      </c>
      <c r="E215" t="str">
        <f>PLANURI!BB657</f>
        <v>7</v>
      </c>
      <c r="F215" t="str">
        <f>PLANURI!BC657</f>
        <v>D</v>
      </c>
      <c r="G215" t="str">
        <f>PLANURI!BD657</f>
        <v>DO</v>
      </c>
      <c r="H215">
        <f>PLANURI!BE657</f>
        <v>0</v>
      </c>
      <c r="I215">
        <f>PLANURI!BF657</f>
        <v>2</v>
      </c>
      <c r="J215">
        <f>PLANURI!BG657</f>
        <v>2</v>
      </c>
      <c r="K215">
        <f>PLANURI!BH657</f>
        <v>0</v>
      </c>
      <c r="L215">
        <f>PLANURI!BI657</f>
        <v>28</v>
      </c>
      <c r="M215">
        <f>PLANURI!BJ657</f>
        <v>28</v>
      </c>
      <c r="N215">
        <f>PLANURI!BK657</f>
        <v>0</v>
      </c>
      <c r="O215">
        <f>PLANURI!BL657</f>
        <v>0</v>
      </c>
      <c r="P215">
        <f>PLANURI!BM657</f>
        <v>0</v>
      </c>
      <c r="Q215">
        <f>PLANURI!BN657</f>
        <v>0</v>
      </c>
      <c r="R215">
        <f>PLANURI!BO657</f>
        <v>0</v>
      </c>
      <c r="S215">
        <f>PLANURI!BP657</f>
        <v>0</v>
      </c>
      <c r="T215">
        <f>PLANURI!BQ657</f>
        <v>5.0999999999999996</v>
      </c>
      <c r="U215">
        <f>PLANURI!BR657</f>
        <v>72</v>
      </c>
      <c r="V215">
        <f>PLANURI!BS657</f>
        <v>4</v>
      </c>
      <c r="W215" t="str">
        <f>PLANURI!BT657</f>
        <v>DS</v>
      </c>
      <c r="X215">
        <f>PLANURI!BU657</f>
        <v>7.1</v>
      </c>
      <c r="Y215">
        <f>PLANURI!BV657</f>
        <v>100</v>
      </c>
      <c r="Z215" t="str">
        <f>PLANURI!A$4</f>
        <v>Facultatea de Mecanică</v>
      </c>
      <c r="AA215" t="str">
        <f>PLANURI!H$6</f>
        <v xml:space="preserve"> Ştiinţe inginereşti</v>
      </c>
      <c r="AB215">
        <f>PLANURI!C$12</f>
        <v>130</v>
      </c>
      <c r="AC215" t="str">
        <f>PLANURI!H$9</f>
        <v>Tehnologia Constructiilor de Masini</v>
      </c>
      <c r="AD215">
        <f>PLANURI!A$12</f>
        <v>20</v>
      </c>
      <c r="AE215">
        <f>PLANURI!B$12</f>
        <v>70</v>
      </c>
      <c r="AF215">
        <f>PLANURI!D$12</f>
        <v>10</v>
      </c>
      <c r="AG215" t="str">
        <f>PLANURI!BW657</f>
        <v>2022</v>
      </c>
    </row>
    <row r="216" spans="1:33" x14ac:dyDescent="0.2">
      <c r="A216" t="str">
        <f>PLANURI!AX658</f>
        <v>L420.19.07.S3-06</v>
      </c>
      <c r="B216">
        <f>PLANURI!AY658</f>
        <v>6</v>
      </c>
      <c r="C216" t="str">
        <f>PLANURI!AZ658</f>
        <v>Opțional 9 independent 
Creativitate tehnica si analiza valorii</v>
      </c>
      <c r="D216">
        <f>PLANURI!BA658</f>
        <v>4</v>
      </c>
      <c r="E216" t="str">
        <f>PLANURI!BB658</f>
        <v>7</v>
      </c>
      <c r="F216" t="str">
        <f>PLANURI!BC658</f>
        <v>D</v>
      </c>
      <c r="G216" t="str">
        <f>PLANURI!BD658</f>
        <v>DO</v>
      </c>
      <c r="H216">
        <f>PLANURI!WL658</f>
        <v>0</v>
      </c>
      <c r="I216">
        <f>PLANURI!BF658</f>
        <v>2</v>
      </c>
      <c r="J216">
        <f>PLANURI!BG658</f>
        <v>2</v>
      </c>
      <c r="K216">
        <f>PLANURI!BH658</f>
        <v>0</v>
      </c>
      <c r="L216">
        <f>PLANURI!BI658</f>
        <v>28</v>
      </c>
      <c r="M216">
        <f>PLANURI!BJ658</f>
        <v>28</v>
      </c>
      <c r="N216">
        <f>PLANURI!BK658</f>
        <v>0</v>
      </c>
      <c r="O216">
        <f>PLANURI!BL658</f>
        <v>0</v>
      </c>
      <c r="P216">
        <f>PLANURI!BM658</f>
        <v>0</v>
      </c>
      <c r="Q216">
        <f>PLANURI!BN658</f>
        <v>0</v>
      </c>
      <c r="R216">
        <f>PLANURI!BO658</f>
        <v>0</v>
      </c>
      <c r="S216">
        <f>PLANURI!BP658</f>
        <v>0</v>
      </c>
      <c r="T216">
        <f>PLANURI!BQ658</f>
        <v>5.0999999999999996</v>
      </c>
      <c r="U216">
        <f>PLANURI!BR658</f>
        <v>72</v>
      </c>
      <c r="V216">
        <f>PLANURI!BS658</f>
        <v>4</v>
      </c>
      <c r="W216" t="str">
        <f>PLANURI!BT658</f>
        <v>DS</v>
      </c>
      <c r="X216">
        <f>PLANURI!BU658</f>
        <v>7.1</v>
      </c>
      <c r="Y216">
        <f>PLANURI!BV658</f>
        <v>100</v>
      </c>
      <c r="Z216" t="str">
        <f>PLANURI!A$4</f>
        <v>Facultatea de Mecanică</v>
      </c>
      <c r="AA216" t="str">
        <f>PLANURI!H$6</f>
        <v xml:space="preserve"> Ştiinţe inginereşti</v>
      </c>
      <c r="AB216">
        <f>PLANURI!C$12</f>
        <v>130</v>
      </c>
      <c r="AC216" t="str">
        <f>PLANURI!H$9</f>
        <v>Tehnologia Constructiilor de Masini</v>
      </c>
      <c r="AD216">
        <f>PLANURI!A$12</f>
        <v>20</v>
      </c>
      <c r="AE216">
        <f>PLANURI!B$12</f>
        <v>70</v>
      </c>
      <c r="AF216">
        <f>PLANURI!D$12</f>
        <v>10</v>
      </c>
      <c r="AG216" t="str">
        <f>PLANURI!BW658</f>
        <v>2022</v>
      </c>
    </row>
    <row r="217" spans="1:33" x14ac:dyDescent="0.2">
      <c r="A217" t="str">
        <f>PLANURI!AX659</f>
        <v>L420.19.07.S4-07</v>
      </c>
      <c r="B217">
        <f>PLANURI!AY659</f>
        <v>7</v>
      </c>
      <c r="C217" t="str">
        <f>PLANURI!AZ659</f>
        <v xml:space="preserve">Opțional 10 independent 
Deformarea şi ruperea materialelor </v>
      </c>
      <c r="D217">
        <f>PLANURI!BA659</f>
        <v>4</v>
      </c>
      <c r="E217" t="str">
        <f>PLANURI!BB659</f>
        <v>7</v>
      </c>
      <c r="F217" t="str">
        <f>PLANURI!BC659</f>
        <v>E</v>
      </c>
      <c r="G217" t="str">
        <f>PLANURI!BD659</f>
        <v>DO</v>
      </c>
      <c r="H217">
        <f>PLANURI!BE659</f>
        <v>0</v>
      </c>
      <c r="I217">
        <f>PLANURI!BF659</f>
        <v>2</v>
      </c>
      <c r="J217">
        <f>PLANURI!BG659</f>
        <v>2</v>
      </c>
      <c r="K217">
        <f>PLANURI!BH659</f>
        <v>0</v>
      </c>
      <c r="L217">
        <f>PLANURI!BI659</f>
        <v>28</v>
      </c>
      <c r="M217">
        <f>PLANURI!BJ659</f>
        <v>28</v>
      </c>
      <c r="N217">
        <f>PLANURI!BK659</f>
        <v>0</v>
      </c>
      <c r="O217">
        <f>PLANURI!BL659</f>
        <v>0</v>
      </c>
      <c r="P217">
        <f>PLANURI!BM659</f>
        <v>0</v>
      </c>
      <c r="Q217">
        <f>PLANURI!BN659</f>
        <v>0</v>
      </c>
      <c r="R217">
        <f>PLANURI!BO659</f>
        <v>0</v>
      </c>
      <c r="S217">
        <f>PLANURI!BP659</f>
        <v>0</v>
      </c>
      <c r="T217">
        <f>PLANURI!BQ659</f>
        <v>6.9</v>
      </c>
      <c r="U217">
        <f>PLANURI!BR659</f>
        <v>97</v>
      </c>
      <c r="V217">
        <f>PLANURI!BS659</f>
        <v>5</v>
      </c>
      <c r="W217" t="str">
        <f>PLANURI!BT659</f>
        <v>DS</v>
      </c>
      <c r="X217">
        <f>PLANURI!BU659</f>
        <v>8.9</v>
      </c>
      <c r="Y217">
        <f>PLANURI!BV659</f>
        <v>125</v>
      </c>
      <c r="Z217" t="str">
        <f>PLANURI!A$4</f>
        <v>Facultatea de Mecanică</v>
      </c>
      <c r="AA217" t="str">
        <f>PLANURI!H$6</f>
        <v xml:space="preserve"> Ştiinţe inginereşti</v>
      </c>
      <c r="AB217">
        <f>PLANURI!C$12</f>
        <v>130</v>
      </c>
      <c r="AC217" t="str">
        <f>PLANURI!H$9</f>
        <v>Tehnologia Constructiilor de Masini</v>
      </c>
      <c r="AD217">
        <f>PLANURI!A$12</f>
        <v>20</v>
      </c>
      <c r="AE217">
        <f>PLANURI!B$12</f>
        <v>70</v>
      </c>
      <c r="AF217">
        <f>PLANURI!D$12</f>
        <v>10</v>
      </c>
      <c r="AG217" t="str">
        <f>PLANURI!BW659</f>
        <v>2022</v>
      </c>
    </row>
    <row r="218" spans="1:33" x14ac:dyDescent="0.2">
      <c r="A218" t="str">
        <f>PLANURI!AX660</f>
        <v>L420.19.07.S4-08</v>
      </c>
      <c r="B218">
        <f>PLANURI!AY660</f>
        <v>8</v>
      </c>
      <c r="C218" t="str">
        <f>PLANURI!AZ660</f>
        <v>Opțional 10 independent 
Procedee de sudare industrială (*)</v>
      </c>
      <c r="D218">
        <f>PLANURI!BA660</f>
        <v>4</v>
      </c>
      <c r="E218" t="str">
        <f>PLANURI!BB660</f>
        <v>7</v>
      </c>
      <c r="F218" t="str">
        <f>PLANURI!BC660</f>
        <v>E</v>
      </c>
      <c r="G218" t="str">
        <f>PLANURI!BD660</f>
        <v>DO</v>
      </c>
      <c r="H218">
        <f>PLANURI!WL660</f>
        <v>0</v>
      </c>
      <c r="I218">
        <f>PLANURI!BF660</f>
        <v>2</v>
      </c>
      <c r="J218">
        <f>PLANURI!BG660</f>
        <v>2</v>
      </c>
      <c r="K218">
        <f>PLANURI!BH660</f>
        <v>0</v>
      </c>
      <c r="L218">
        <f>PLANURI!BI660</f>
        <v>28</v>
      </c>
      <c r="M218">
        <f>PLANURI!BJ660</f>
        <v>28</v>
      </c>
      <c r="N218">
        <f>PLANURI!BK660</f>
        <v>0</v>
      </c>
      <c r="O218">
        <f>PLANURI!BL660</f>
        <v>0</v>
      </c>
      <c r="P218">
        <f>PLANURI!BM660</f>
        <v>0</v>
      </c>
      <c r="Q218">
        <f>PLANURI!BN660</f>
        <v>0</v>
      </c>
      <c r="R218">
        <f>PLANURI!BO660</f>
        <v>0</v>
      </c>
      <c r="S218">
        <f>PLANURI!BP660</f>
        <v>0</v>
      </c>
      <c r="T218">
        <f>PLANURI!BQ660</f>
        <v>6.9</v>
      </c>
      <c r="U218">
        <f>PLANURI!BR660</f>
        <v>97</v>
      </c>
      <c r="V218">
        <f>PLANURI!BS660</f>
        <v>5</v>
      </c>
      <c r="W218" t="str">
        <f>PLANURI!BT660</f>
        <v>DS</v>
      </c>
      <c r="X218">
        <f>PLANURI!BU660</f>
        <v>8.9</v>
      </c>
      <c r="Y218">
        <f>PLANURI!BV660</f>
        <v>125</v>
      </c>
      <c r="Z218" t="str">
        <f>PLANURI!A$4</f>
        <v>Facultatea de Mecanică</v>
      </c>
      <c r="AA218" t="str">
        <f>PLANURI!H$6</f>
        <v xml:space="preserve"> Ştiinţe inginereşti</v>
      </c>
      <c r="AB218">
        <f>PLANURI!C$12</f>
        <v>130</v>
      </c>
      <c r="AC218" t="str">
        <f>PLANURI!H$9</f>
        <v>Tehnologia Constructiilor de Masini</v>
      </c>
      <c r="AD218">
        <f>PLANURI!A$12</f>
        <v>20</v>
      </c>
      <c r="AE218">
        <f>PLANURI!B$12</f>
        <v>70</v>
      </c>
      <c r="AF218">
        <f>PLANURI!D$12</f>
        <v>10</v>
      </c>
      <c r="AG218" t="str">
        <f>PLANURI!BW660</f>
        <v>2022</v>
      </c>
    </row>
    <row r="219" spans="1:33" x14ac:dyDescent="0.2">
      <c r="A219" t="str">
        <f>PLANURI!AX661</f>
        <v>L420.19.07.D6-09</v>
      </c>
      <c r="B219">
        <f>PLANURI!AY661</f>
        <v>9</v>
      </c>
      <c r="C219" t="str">
        <f>PLANURI!AZ661</f>
        <v>Opțional 1-împachetat (P1)
Dispozitive tehnologice (*)</v>
      </c>
      <c r="D219">
        <f>PLANURI!BA661</f>
        <v>4</v>
      </c>
      <c r="E219" t="str">
        <f>PLANURI!BB661</f>
        <v>7</v>
      </c>
      <c r="F219" t="str">
        <f>PLANURI!BC661</f>
        <v>D</v>
      </c>
      <c r="G219" t="str">
        <f>PLANURI!BD661</f>
        <v>DO</v>
      </c>
      <c r="H219">
        <f>PLANURI!BE661</f>
        <v>0</v>
      </c>
      <c r="I219">
        <f>PLANURI!BF661</f>
        <v>2</v>
      </c>
      <c r="J219">
        <f>PLANURI!BG661</f>
        <v>2</v>
      </c>
      <c r="K219">
        <f>PLANURI!BH661</f>
        <v>0</v>
      </c>
      <c r="L219">
        <f>PLANURI!BI661</f>
        <v>28</v>
      </c>
      <c r="M219">
        <f>PLANURI!BJ661</f>
        <v>28</v>
      </c>
      <c r="N219">
        <f>PLANURI!BK661</f>
        <v>0</v>
      </c>
      <c r="O219">
        <f>PLANURI!BL661</f>
        <v>0</v>
      </c>
      <c r="P219">
        <f>PLANURI!BM661</f>
        <v>0</v>
      </c>
      <c r="Q219">
        <f>PLANURI!BN661</f>
        <v>0</v>
      </c>
      <c r="R219">
        <f>PLANURI!BO661</f>
        <v>0</v>
      </c>
      <c r="S219">
        <f>PLANURI!BP661</f>
        <v>0</v>
      </c>
      <c r="T219">
        <f>PLANURI!BQ661</f>
        <v>6.9</v>
      </c>
      <c r="U219">
        <f>PLANURI!BR661</f>
        <v>97</v>
      </c>
      <c r="V219">
        <f>PLANURI!BS661</f>
        <v>5</v>
      </c>
      <c r="W219" t="str">
        <f>PLANURI!BT661</f>
        <v>DD</v>
      </c>
      <c r="X219">
        <f>PLANURI!BU661</f>
        <v>8.9</v>
      </c>
      <c r="Y219">
        <f>PLANURI!BV661</f>
        <v>125</v>
      </c>
      <c r="Z219" t="str">
        <f>PLANURI!A$4</f>
        <v>Facultatea de Mecanică</v>
      </c>
      <c r="AA219" t="str">
        <f>PLANURI!H$6</f>
        <v xml:space="preserve"> Ştiinţe inginereşti</v>
      </c>
      <c r="AB219">
        <f>PLANURI!C$12</f>
        <v>130</v>
      </c>
      <c r="AC219" t="str">
        <f>PLANURI!H$9</f>
        <v>Tehnologia Constructiilor de Masini</v>
      </c>
      <c r="AD219">
        <f>PLANURI!A$12</f>
        <v>20</v>
      </c>
      <c r="AE219">
        <f>PLANURI!B$12</f>
        <v>70</v>
      </c>
      <c r="AF219">
        <f>PLANURI!D$12</f>
        <v>10</v>
      </c>
      <c r="AG219" t="str">
        <f>PLANURI!BW661</f>
        <v>2022</v>
      </c>
    </row>
    <row r="220" spans="1:33" x14ac:dyDescent="0.2">
      <c r="A220" t="str">
        <f>PLANURI!AX662</f>
        <v>L420.19.07.D7-10</v>
      </c>
      <c r="B220">
        <f>PLANURI!AY662</f>
        <v>10</v>
      </c>
      <c r="C220" t="str">
        <f>PLANURI!AZ662</f>
        <v>Opțional 2-împachetat (P1)
Constructia si exploatarea sculelor aschietoare (*)</v>
      </c>
      <c r="D220">
        <f>PLANURI!BA662</f>
        <v>4</v>
      </c>
      <c r="E220" t="str">
        <f>PLANURI!BB662</f>
        <v>7</v>
      </c>
      <c r="F220" t="str">
        <f>PLANURI!BC662</f>
        <v>E</v>
      </c>
      <c r="G220" t="str">
        <f>PLANURI!BD662</f>
        <v>DO</v>
      </c>
      <c r="H220">
        <f>PLANURI!WL662</f>
        <v>0</v>
      </c>
      <c r="I220">
        <f>PLANURI!BF662</f>
        <v>2</v>
      </c>
      <c r="J220">
        <f>PLANURI!BG662</f>
        <v>2</v>
      </c>
      <c r="K220">
        <f>PLANURI!BH662</f>
        <v>0</v>
      </c>
      <c r="L220">
        <f>PLANURI!BI662</f>
        <v>28</v>
      </c>
      <c r="M220">
        <f>PLANURI!BJ662</f>
        <v>28</v>
      </c>
      <c r="N220">
        <f>PLANURI!BK662</f>
        <v>0</v>
      </c>
      <c r="O220">
        <f>PLANURI!BL662</f>
        <v>0</v>
      </c>
      <c r="P220">
        <f>PLANURI!BM662</f>
        <v>0</v>
      </c>
      <c r="Q220">
        <f>PLANURI!BN662</f>
        <v>0</v>
      </c>
      <c r="R220">
        <f>PLANURI!BO662</f>
        <v>0</v>
      </c>
      <c r="S220">
        <f>PLANURI!BP662</f>
        <v>0</v>
      </c>
      <c r="T220">
        <f>PLANURI!BQ662</f>
        <v>5.0999999999999996</v>
      </c>
      <c r="U220">
        <f>PLANURI!BR662</f>
        <v>72</v>
      </c>
      <c r="V220">
        <f>PLANURI!BS662</f>
        <v>4</v>
      </c>
      <c r="W220" t="str">
        <f>PLANURI!BT662</f>
        <v>DD</v>
      </c>
      <c r="X220">
        <f>PLANURI!BU662</f>
        <v>7.1</v>
      </c>
      <c r="Y220">
        <f>PLANURI!BV662</f>
        <v>100</v>
      </c>
      <c r="Z220" t="str">
        <f>PLANURI!A$4</f>
        <v>Facultatea de Mecanică</v>
      </c>
      <c r="AA220" t="str">
        <f>PLANURI!H$6</f>
        <v xml:space="preserve"> Ştiinţe inginereşti</v>
      </c>
      <c r="AB220">
        <f>PLANURI!C$12</f>
        <v>130</v>
      </c>
      <c r="AC220" t="str">
        <f>PLANURI!H$9</f>
        <v>Tehnologia Constructiilor de Masini</v>
      </c>
      <c r="AD220">
        <f>PLANURI!A$12</f>
        <v>20</v>
      </c>
      <c r="AE220">
        <f>PLANURI!B$12</f>
        <v>70</v>
      </c>
      <c r="AF220">
        <f>PLANURI!D$12</f>
        <v>10</v>
      </c>
      <c r="AG220" t="str">
        <f>PLANURI!BW662</f>
        <v>2022</v>
      </c>
    </row>
    <row r="221" spans="1:33" x14ac:dyDescent="0.2">
      <c r="A221" t="str">
        <f>PLANURI!AX663</f>
        <v>L420.19.07.D6-11</v>
      </c>
      <c r="B221">
        <f>PLANURI!AY663</f>
        <v>11</v>
      </c>
      <c r="C221" t="str">
        <f>PLANURI!AZ663</f>
        <v>Opțional 1-împachetat  (P2)
Disponibilitatea operationala a sist tehn si Dispozitive tehnologice</v>
      </c>
      <c r="D221">
        <f>PLANURI!BA663</f>
        <v>4</v>
      </c>
      <c r="E221" t="str">
        <f>PLANURI!BB663</f>
        <v>7</v>
      </c>
      <c r="F221" t="str">
        <f>PLANURI!BC663</f>
        <v>D</v>
      </c>
      <c r="G221" t="str">
        <f>PLANURI!BD663</f>
        <v>DO</v>
      </c>
      <c r="H221">
        <f>PLANURI!BE663</f>
        <v>0</v>
      </c>
      <c r="I221">
        <f>PLANURI!BF663</f>
        <v>2</v>
      </c>
      <c r="J221">
        <f>PLANURI!BG663</f>
        <v>2</v>
      </c>
      <c r="K221">
        <f>PLANURI!BH663</f>
        <v>0</v>
      </c>
      <c r="L221">
        <f>PLANURI!BI663</f>
        <v>28</v>
      </c>
      <c r="M221">
        <f>PLANURI!BJ663</f>
        <v>28</v>
      </c>
      <c r="N221">
        <f>PLANURI!BK663</f>
        <v>0</v>
      </c>
      <c r="O221">
        <f>PLANURI!BL663</f>
        <v>0</v>
      </c>
      <c r="P221">
        <f>PLANURI!BM663</f>
        <v>0</v>
      </c>
      <c r="Q221">
        <f>PLANURI!BN663</f>
        <v>0</v>
      </c>
      <c r="R221">
        <f>PLANURI!BO663</f>
        <v>0</v>
      </c>
      <c r="S221">
        <f>PLANURI!BP663</f>
        <v>0</v>
      </c>
      <c r="T221">
        <f>PLANURI!BQ663</f>
        <v>6.9</v>
      </c>
      <c r="U221">
        <f>PLANURI!BR663</f>
        <v>97</v>
      </c>
      <c r="V221">
        <f>PLANURI!BS663</f>
        <v>5</v>
      </c>
      <c r="W221" t="str">
        <f>PLANURI!BT663</f>
        <v>DD</v>
      </c>
      <c r="X221">
        <f>PLANURI!BU663</f>
        <v>8.9</v>
      </c>
      <c r="Y221">
        <f>PLANURI!BV663</f>
        <v>125</v>
      </c>
      <c r="Z221" t="str">
        <f>PLANURI!A$4</f>
        <v>Facultatea de Mecanică</v>
      </c>
      <c r="AA221" t="str">
        <f>PLANURI!H$6</f>
        <v xml:space="preserve"> Ştiinţe inginereşti</v>
      </c>
      <c r="AB221">
        <f>PLANURI!C$12</f>
        <v>130</v>
      </c>
      <c r="AC221" t="str">
        <f>PLANURI!H$9</f>
        <v>Tehnologia Constructiilor de Masini</v>
      </c>
      <c r="AD221">
        <f>PLANURI!A$12</f>
        <v>20</v>
      </c>
      <c r="AE221">
        <f>PLANURI!B$12</f>
        <v>70</v>
      </c>
      <c r="AF221">
        <f>PLANURI!D$12</f>
        <v>10</v>
      </c>
      <c r="AG221" t="str">
        <f>PLANURI!BW663</f>
        <v>2022</v>
      </c>
    </row>
    <row r="222" spans="1:33" x14ac:dyDescent="0.2">
      <c r="A222" t="str">
        <f>PLANURI!AX664</f>
        <v>L420.19.07.D7-12</v>
      </c>
      <c r="B222">
        <f>PLANURI!AY664</f>
        <v>12</v>
      </c>
      <c r="C222" t="str">
        <f>PLANURI!AZ664</f>
        <v>Opțional 2-împachetat  (P2)
Scule aschietoare</v>
      </c>
      <c r="D222">
        <f>PLANURI!BA664</f>
        <v>4</v>
      </c>
      <c r="E222" t="str">
        <f>PLANURI!BB664</f>
        <v>7</v>
      </c>
      <c r="F222" t="str">
        <f>PLANURI!BC664</f>
        <v>E</v>
      </c>
      <c r="G222" t="str">
        <f>PLANURI!BD664</f>
        <v>DO</v>
      </c>
      <c r="H222">
        <f>PLANURI!WL664</f>
        <v>0</v>
      </c>
      <c r="I222">
        <f>PLANURI!BF664</f>
        <v>2</v>
      </c>
      <c r="J222">
        <f>PLANURI!BG664</f>
        <v>2</v>
      </c>
      <c r="K222">
        <f>PLANURI!BH664</f>
        <v>0</v>
      </c>
      <c r="L222">
        <f>PLANURI!BI664</f>
        <v>28</v>
      </c>
      <c r="M222">
        <f>PLANURI!BJ664</f>
        <v>28</v>
      </c>
      <c r="N222">
        <f>PLANURI!BK664</f>
        <v>0</v>
      </c>
      <c r="O222">
        <f>PLANURI!BL664</f>
        <v>0</v>
      </c>
      <c r="P222">
        <f>PLANURI!BM664</f>
        <v>0</v>
      </c>
      <c r="Q222">
        <f>PLANURI!BN664</f>
        <v>0</v>
      </c>
      <c r="R222">
        <f>PLANURI!BO664</f>
        <v>0</v>
      </c>
      <c r="S222">
        <f>PLANURI!BP664</f>
        <v>0</v>
      </c>
      <c r="T222">
        <f>PLANURI!BQ664</f>
        <v>5.0999999999999996</v>
      </c>
      <c r="U222">
        <f>PLANURI!BR664</f>
        <v>72</v>
      </c>
      <c r="V222">
        <f>PLANURI!BS664</f>
        <v>4</v>
      </c>
      <c r="W222" t="str">
        <f>PLANURI!BT664</f>
        <v>DD</v>
      </c>
      <c r="X222">
        <f>PLANURI!BU664</f>
        <v>7.1</v>
      </c>
      <c r="Y222">
        <f>PLANURI!BV664</f>
        <v>100</v>
      </c>
      <c r="Z222" t="str">
        <f>PLANURI!A$4</f>
        <v>Facultatea de Mecanică</v>
      </c>
      <c r="AA222" t="str">
        <f>PLANURI!H$6</f>
        <v xml:space="preserve"> Ştiinţe inginereşti</v>
      </c>
      <c r="AB222">
        <f>PLANURI!C$12</f>
        <v>130</v>
      </c>
      <c r="AC222" t="str">
        <f>PLANURI!H$9</f>
        <v>Tehnologia Constructiilor de Masini</v>
      </c>
      <c r="AD222">
        <f>PLANURI!A$12</f>
        <v>20</v>
      </c>
      <c r="AE222">
        <f>PLANURI!B$12</f>
        <v>70</v>
      </c>
      <c r="AF222">
        <f>PLANURI!D$12</f>
        <v>10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130</v>
      </c>
      <c r="AC223" t="str">
        <f>PLANURI!H$9</f>
        <v>Tehnologia Constructiilor de Masini</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130</v>
      </c>
      <c r="AC224" t="str">
        <f>PLANURI!H$9</f>
        <v>Tehnologia Constructiilor de Masini</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130</v>
      </c>
      <c r="AC225" t="str">
        <f>PLANURI!H$9</f>
        <v>Tehnologia Constructiilor de Masini</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130</v>
      </c>
      <c r="AC226" t="str">
        <f>PLANURI!H$9</f>
        <v>Tehnologia Constructiilor de Masini</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130</v>
      </c>
      <c r="AC227" t="str">
        <f>PLANURI!H$9</f>
        <v>Tehnologia Constructiilor de Masini</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130</v>
      </c>
      <c r="AC228" t="str">
        <f>PLANURI!H$9</f>
        <v>Tehnologia Constructiilor de Masini</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130</v>
      </c>
      <c r="AC229" t="str">
        <f>PLANURI!H$9</f>
        <v>Tehnologia Constructiilor de Masini</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130</v>
      </c>
      <c r="AC230" t="str">
        <f>PLANURI!H$9</f>
        <v>Tehnologia Constructiilor de Masini</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130</v>
      </c>
      <c r="AC231" t="str">
        <f>PLANURI!H$9</f>
        <v>Tehnologia Constructiilor de Masini</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130</v>
      </c>
      <c r="AC232" t="str">
        <f>PLANURI!H$9</f>
        <v>Tehnologia Constructiilor de Masini</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130</v>
      </c>
      <c r="AC233" t="str">
        <f>PLANURI!H$9</f>
        <v>Tehnologia Constructiilor de Masini</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130</v>
      </c>
      <c r="AC234" t="str">
        <f>PLANURI!H$9</f>
        <v>Tehnologia Constructiilor de Masini</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130</v>
      </c>
      <c r="AC235" t="str">
        <f>PLANURI!H$9</f>
        <v>Tehnologia Constructiilor de Masini</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130</v>
      </c>
      <c r="AC236" t="str">
        <f>PLANURI!H$9</f>
        <v>Tehnologia Constructiilor de Masini</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130</v>
      </c>
      <c r="AC237" t="str">
        <f>PLANURI!H$9</f>
        <v>Tehnologia Constructiilor de Masini</v>
      </c>
      <c r="AD237">
        <f>PLANURI!A$12</f>
        <v>20</v>
      </c>
      <c r="AE237">
        <f>PLANURI!B$12</f>
        <v>70</v>
      </c>
      <c r="AF237">
        <f>PLANURI!D$12</f>
        <v>10</v>
      </c>
      <c r="AG237" t="str">
        <f>PLANURI!BW679</f>
        <v/>
      </c>
    </row>
    <row r="238" spans="1:33" x14ac:dyDescent="0.2">
      <c r="A238" t="str">
        <f>PLANURI!AX680</f>
        <v>L420.19.08.S1-01</v>
      </c>
      <c r="B238">
        <f>PLANURI!AY680</f>
        <v>1</v>
      </c>
      <c r="C238" t="str">
        <f>PLANURI!AZ680</f>
        <v>Opțional 3-împachetat  (P3)
Tehnologii pe masini cu comenzi numerice (*)</v>
      </c>
      <c r="D238">
        <f>PLANURI!BA680</f>
        <v>4</v>
      </c>
      <c r="E238" t="str">
        <f>PLANURI!BB680</f>
        <v>8</v>
      </c>
      <c r="F238" t="str">
        <f>PLANURI!BC680</f>
        <v>E</v>
      </c>
      <c r="G238" t="str">
        <f>PLANURI!BD680</f>
        <v>DO</v>
      </c>
      <c r="H238">
        <f>PLANURI!WL680</f>
        <v>0</v>
      </c>
      <c r="I238">
        <f>PLANURI!BF680</f>
        <v>2</v>
      </c>
      <c r="J238">
        <f>PLANURI!BG680</f>
        <v>2</v>
      </c>
      <c r="K238">
        <f>PLANURI!BH680</f>
        <v>0</v>
      </c>
      <c r="L238">
        <f>PLANURI!BI680</f>
        <v>28</v>
      </c>
      <c r="M238">
        <f>PLANURI!BJ680</f>
        <v>28</v>
      </c>
      <c r="N238">
        <f>PLANURI!BK680</f>
        <v>0</v>
      </c>
      <c r="O238">
        <f>PLANURI!BL680</f>
        <v>0</v>
      </c>
      <c r="P238">
        <f>PLANURI!BM680</f>
        <v>0</v>
      </c>
      <c r="Q238">
        <f>PLANURI!BN680</f>
        <v>0</v>
      </c>
      <c r="R238">
        <f>PLANURI!BO680</f>
        <v>0</v>
      </c>
      <c r="S238">
        <f>PLANURI!BP680</f>
        <v>0</v>
      </c>
      <c r="T238">
        <f>PLANURI!BQ680</f>
        <v>5.0999999999999996</v>
      </c>
      <c r="U238">
        <f>PLANURI!BR680</f>
        <v>72</v>
      </c>
      <c r="V238">
        <f>PLANURI!BS680</f>
        <v>4</v>
      </c>
      <c r="W238" t="str">
        <f>PLANURI!BT680</f>
        <v>DS</v>
      </c>
      <c r="X238">
        <f>PLANURI!BU680</f>
        <v>7.1</v>
      </c>
      <c r="Y238">
        <f>PLANURI!BV680</f>
        <v>100</v>
      </c>
      <c r="Z238" t="str">
        <f>PLANURI!A$4</f>
        <v>Facultatea de Mecanică</v>
      </c>
      <c r="AA238" t="str">
        <f>PLANURI!H$6</f>
        <v xml:space="preserve"> Ştiinţe inginereşti</v>
      </c>
      <c r="AB238">
        <f>PLANURI!C$12</f>
        <v>130</v>
      </c>
      <c r="AC238" t="str">
        <f>PLANURI!H$9</f>
        <v>Tehnologia Constructiilor de Masini</v>
      </c>
      <c r="AD238">
        <f>PLANURI!A$12</f>
        <v>20</v>
      </c>
      <c r="AE238">
        <f>PLANURI!B$12</f>
        <v>70</v>
      </c>
      <c r="AF238">
        <f>PLANURI!D$12</f>
        <v>10</v>
      </c>
      <c r="AG238" t="str">
        <f>PLANURI!BW680</f>
        <v>2022</v>
      </c>
    </row>
    <row r="239" spans="1:33" x14ac:dyDescent="0.2">
      <c r="A239" t="str">
        <f>PLANURI!AX681</f>
        <v>L420.19.08.S2-02</v>
      </c>
      <c r="B239">
        <f>PLANURI!AY681</f>
        <v>2</v>
      </c>
      <c r="C239" t="str">
        <f>PLANURI!AZ681</f>
        <v>Opțional 4-împachetat (P3)
Tehnologii si echipamente de fabricatie (*)</v>
      </c>
      <c r="D239">
        <f>PLANURI!BA681</f>
        <v>4</v>
      </c>
      <c r="E239" t="str">
        <f>PLANURI!BB681</f>
        <v>8</v>
      </c>
      <c r="F239" t="str">
        <f>PLANURI!BC681</f>
        <v>E</v>
      </c>
      <c r="G239" t="str">
        <f>PLANURI!BD681</f>
        <v>DO</v>
      </c>
      <c r="H239">
        <f>PLANURI!BE681</f>
        <v>0</v>
      </c>
      <c r="I239">
        <f>PLANURI!BF681</f>
        <v>2</v>
      </c>
      <c r="J239">
        <f>PLANURI!BG681</f>
        <v>2</v>
      </c>
      <c r="K239">
        <f>PLANURI!BH681</f>
        <v>0</v>
      </c>
      <c r="L239">
        <f>PLANURI!BI681</f>
        <v>28</v>
      </c>
      <c r="M239">
        <f>PLANURI!BJ681</f>
        <v>28</v>
      </c>
      <c r="N239">
        <f>PLANURI!BK681</f>
        <v>0</v>
      </c>
      <c r="O239">
        <f>PLANURI!BL681</f>
        <v>0</v>
      </c>
      <c r="P239">
        <f>PLANURI!BM681</f>
        <v>0</v>
      </c>
      <c r="Q239">
        <f>PLANURI!BN681</f>
        <v>0</v>
      </c>
      <c r="R239">
        <f>PLANURI!BO681</f>
        <v>0</v>
      </c>
      <c r="S239">
        <f>PLANURI!BP681</f>
        <v>0</v>
      </c>
      <c r="T239">
        <f>PLANURI!BQ681</f>
        <v>5.0999999999999996</v>
      </c>
      <c r="U239">
        <f>PLANURI!BR681</f>
        <v>72</v>
      </c>
      <c r="V239">
        <f>PLANURI!BS681</f>
        <v>4</v>
      </c>
      <c r="W239" t="str">
        <f>PLANURI!BT681</f>
        <v>DS</v>
      </c>
      <c r="X239">
        <f>PLANURI!BU681</f>
        <v>7.1</v>
      </c>
      <c r="Y239">
        <f>PLANURI!BV681</f>
        <v>100</v>
      </c>
      <c r="Z239" t="str">
        <f>PLANURI!A$4</f>
        <v>Facultatea de Mecanică</v>
      </c>
      <c r="AA239" t="str">
        <f>PLANURI!H$6</f>
        <v xml:space="preserve"> Ştiinţe inginereşti</v>
      </c>
      <c r="AB239">
        <f>PLANURI!C$12</f>
        <v>130</v>
      </c>
      <c r="AC239" t="str">
        <f>PLANURI!H$9</f>
        <v>Tehnologia Constructiilor de Masini</v>
      </c>
      <c r="AD239">
        <f>PLANURI!A$12</f>
        <v>20</v>
      </c>
      <c r="AE239">
        <f>PLANURI!B$12</f>
        <v>70</v>
      </c>
      <c r="AF239">
        <f>PLANURI!D$12</f>
        <v>10</v>
      </c>
      <c r="AG239" t="str">
        <f>PLANURI!BW681</f>
        <v>2022</v>
      </c>
    </row>
    <row r="240" spans="1:33" x14ac:dyDescent="0.2">
      <c r="A240" t="str">
        <f>PLANURI!AX682</f>
        <v>L420.19.08.S3-03</v>
      </c>
      <c r="B240">
        <f>PLANURI!AY682</f>
        <v>3</v>
      </c>
      <c r="C240" t="str">
        <f>PLANURI!AZ682</f>
        <v>Opțional 5-împachetat (P3)
Proceduri de masurare 3D (*)</v>
      </c>
      <c r="D240">
        <f>PLANURI!BA682</f>
        <v>4</v>
      </c>
      <c r="E240" t="str">
        <f>PLANURI!BB682</f>
        <v>8</v>
      </c>
      <c r="F240" t="str">
        <f>PLANURI!BC682</f>
        <v>E</v>
      </c>
      <c r="G240" t="str">
        <f>PLANURI!BD682</f>
        <v>DO</v>
      </c>
      <c r="H240">
        <f>PLANURI!WL682</f>
        <v>0</v>
      </c>
      <c r="I240">
        <f>PLANURI!BF682</f>
        <v>1</v>
      </c>
      <c r="J240">
        <f>PLANURI!BG682</f>
        <v>1</v>
      </c>
      <c r="K240">
        <f>PLANURI!BH682</f>
        <v>0</v>
      </c>
      <c r="L240">
        <f>PLANURI!BI682</f>
        <v>14</v>
      </c>
      <c r="M240">
        <f>PLANURI!BJ682</f>
        <v>14</v>
      </c>
      <c r="N240">
        <f>PLANURI!BK682</f>
        <v>0</v>
      </c>
      <c r="O240">
        <f>PLANURI!BL682</f>
        <v>0</v>
      </c>
      <c r="P240">
        <f>PLANURI!BM682</f>
        <v>0</v>
      </c>
      <c r="Q240">
        <f>PLANURI!BN682</f>
        <v>0</v>
      </c>
      <c r="R240">
        <f>PLANURI!BO682</f>
        <v>0</v>
      </c>
      <c r="S240">
        <f>PLANURI!BP682</f>
        <v>0</v>
      </c>
      <c r="T240">
        <f>PLANURI!BQ682</f>
        <v>6.1</v>
      </c>
      <c r="U240">
        <f>PLANURI!BR682</f>
        <v>86</v>
      </c>
      <c r="V240">
        <f>PLANURI!BS682</f>
        <v>4</v>
      </c>
      <c r="W240" t="str">
        <f>PLANURI!BT682</f>
        <v>DS</v>
      </c>
      <c r="X240">
        <f>PLANURI!BU682</f>
        <v>7.1</v>
      </c>
      <c r="Y240">
        <f>PLANURI!BV682</f>
        <v>100</v>
      </c>
      <c r="Z240" t="str">
        <f>PLANURI!A$4</f>
        <v>Facultatea de Mecanică</v>
      </c>
      <c r="AA240" t="str">
        <f>PLANURI!H$6</f>
        <v xml:space="preserve"> Ştiinţe inginereşti</v>
      </c>
      <c r="AB240">
        <f>PLANURI!C$12</f>
        <v>130</v>
      </c>
      <c r="AC240" t="str">
        <f>PLANURI!H$9</f>
        <v>Tehnologia Constructiilor de Masini</v>
      </c>
      <c r="AD240">
        <f>PLANURI!A$12</f>
        <v>20</v>
      </c>
      <c r="AE240">
        <f>PLANURI!B$12</f>
        <v>70</v>
      </c>
      <c r="AF240">
        <f>PLANURI!D$12</f>
        <v>10</v>
      </c>
      <c r="AG240" t="str">
        <f>PLANURI!BW682</f>
        <v>2022</v>
      </c>
    </row>
    <row r="241" spans="1:33" x14ac:dyDescent="0.2">
      <c r="A241" t="str">
        <f>PLANURI!AX683</f>
        <v>L420.19.08.S4-04</v>
      </c>
      <c r="B241">
        <f>PLANURI!AY683</f>
        <v>4</v>
      </c>
      <c r="C241" t="str">
        <f>PLANURI!AZ683</f>
        <v>Opțional 6-împachetat(P3)
Tehnologii de procesare a materialelor polimerice (*)</v>
      </c>
      <c r="D241">
        <f>PLANURI!BA683</f>
        <v>4</v>
      </c>
      <c r="E241" t="str">
        <f>PLANURI!BB683</f>
        <v>8</v>
      </c>
      <c r="F241" t="str">
        <f>PLANURI!BC683</f>
        <v>E</v>
      </c>
      <c r="G241" t="str">
        <f>PLANURI!BD683</f>
        <v>DO</v>
      </c>
      <c r="H241">
        <f>PLANURI!BE683</f>
        <v>0</v>
      </c>
      <c r="I241">
        <f>PLANURI!BF683</f>
        <v>1</v>
      </c>
      <c r="J241">
        <f>PLANURI!BG683</f>
        <v>1</v>
      </c>
      <c r="K241">
        <f>PLANURI!BH683</f>
        <v>0</v>
      </c>
      <c r="L241">
        <f>PLANURI!BI683</f>
        <v>14</v>
      </c>
      <c r="M241">
        <f>PLANURI!BJ683</f>
        <v>14</v>
      </c>
      <c r="N241">
        <f>PLANURI!BK683</f>
        <v>0</v>
      </c>
      <c r="O241">
        <f>PLANURI!BL683</f>
        <v>0</v>
      </c>
      <c r="P241">
        <f>PLANURI!BM683</f>
        <v>0</v>
      </c>
      <c r="Q241">
        <f>PLANURI!BN683</f>
        <v>0</v>
      </c>
      <c r="R241">
        <f>PLANURI!BO683</f>
        <v>0</v>
      </c>
      <c r="S241">
        <f>PLANURI!BP683</f>
        <v>0</v>
      </c>
      <c r="T241">
        <f>PLANURI!BQ683</f>
        <v>4.4000000000000004</v>
      </c>
      <c r="U241">
        <f>PLANURI!BR683</f>
        <v>61</v>
      </c>
      <c r="V241">
        <f>PLANURI!BS683</f>
        <v>3</v>
      </c>
      <c r="W241" t="str">
        <f>PLANURI!BT683</f>
        <v>DS</v>
      </c>
      <c r="X241">
        <f>PLANURI!BU683</f>
        <v>5.4</v>
      </c>
      <c r="Y241">
        <f>PLANURI!BV683</f>
        <v>75</v>
      </c>
      <c r="Z241" t="str">
        <f>PLANURI!A$4</f>
        <v>Facultatea de Mecanică</v>
      </c>
      <c r="AA241" t="str">
        <f>PLANURI!H$6</f>
        <v xml:space="preserve"> Ştiinţe inginereşti</v>
      </c>
      <c r="AB241">
        <f>PLANURI!C$12</f>
        <v>130</v>
      </c>
      <c r="AC241" t="str">
        <f>PLANURI!H$9</f>
        <v>Tehnologia Constructiilor de Masini</v>
      </c>
      <c r="AD241">
        <f>PLANURI!A$12</f>
        <v>20</v>
      </c>
      <c r="AE241">
        <f>PLANURI!B$12</f>
        <v>70</v>
      </c>
      <c r="AF241">
        <f>PLANURI!D$12</f>
        <v>10</v>
      </c>
      <c r="AG241" t="str">
        <f>PLANURI!BW683</f>
        <v>2022</v>
      </c>
    </row>
    <row r="242" spans="1:33" x14ac:dyDescent="0.2">
      <c r="A242" t="str">
        <f>PLANURI!AX684</f>
        <v>L420.19.08.S1-05</v>
      </c>
      <c r="B242">
        <f>PLANURI!AY684</f>
        <v>5</v>
      </c>
      <c r="C242" t="str">
        <f>PLANURI!AZ684</f>
        <v>Opțional 3-împachetat (P4)
Sisteme flexibile de fabricatie</v>
      </c>
      <c r="D242">
        <f>PLANURI!BA684</f>
        <v>4</v>
      </c>
      <c r="E242" t="str">
        <f>PLANURI!BB684</f>
        <v>8</v>
      </c>
      <c r="F242" t="str">
        <f>PLANURI!BC684</f>
        <v>E</v>
      </c>
      <c r="G242" t="str">
        <f>PLANURI!BD684</f>
        <v>DO</v>
      </c>
      <c r="H242">
        <f>PLANURI!WL684</f>
        <v>0</v>
      </c>
      <c r="I242">
        <f>PLANURI!BF684</f>
        <v>2</v>
      </c>
      <c r="J242">
        <f>PLANURI!BG684</f>
        <v>2</v>
      </c>
      <c r="K242">
        <f>PLANURI!BH684</f>
        <v>0</v>
      </c>
      <c r="L242">
        <f>PLANURI!BI684</f>
        <v>28</v>
      </c>
      <c r="M242">
        <f>PLANURI!BJ684</f>
        <v>28</v>
      </c>
      <c r="N242">
        <f>PLANURI!BK684</f>
        <v>0</v>
      </c>
      <c r="O242">
        <f>PLANURI!BL684</f>
        <v>0</v>
      </c>
      <c r="P242">
        <f>PLANURI!BM684</f>
        <v>0</v>
      </c>
      <c r="Q242">
        <f>PLANURI!BN684</f>
        <v>0</v>
      </c>
      <c r="R242">
        <f>PLANURI!BO684</f>
        <v>0</v>
      </c>
      <c r="S242">
        <f>PLANURI!BP684</f>
        <v>0</v>
      </c>
      <c r="T242">
        <f>PLANURI!BQ684</f>
        <v>5.0999999999999996</v>
      </c>
      <c r="U242">
        <f>PLANURI!BR684</f>
        <v>72</v>
      </c>
      <c r="V242">
        <f>PLANURI!BS684</f>
        <v>4</v>
      </c>
      <c r="W242" t="str">
        <f>PLANURI!BT684</f>
        <v>DS</v>
      </c>
      <c r="X242">
        <f>PLANURI!BU684</f>
        <v>7.1</v>
      </c>
      <c r="Y242">
        <f>PLANURI!BV684</f>
        <v>100</v>
      </c>
      <c r="Z242" t="str">
        <f>PLANURI!A$4</f>
        <v>Facultatea de Mecanică</v>
      </c>
      <c r="AA242" t="str">
        <f>PLANURI!H$6</f>
        <v xml:space="preserve"> Ştiinţe inginereşti</v>
      </c>
      <c r="AB242">
        <f>PLANURI!C$12</f>
        <v>130</v>
      </c>
      <c r="AC242" t="str">
        <f>PLANURI!H$9</f>
        <v>Tehnologia Constructiilor de Masini</v>
      </c>
      <c r="AD242">
        <f>PLANURI!A$12</f>
        <v>20</v>
      </c>
      <c r="AE242">
        <f>PLANURI!B$12</f>
        <v>70</v>
      </c>
      <c r="AF242">
        <f>PLANURI!D$12</f>
        <v>10</v>
      </c>
      <c r="AG242" t="str">
        <f>PLANURI!BW684</f>
        <v>2022</v>
      </c>
    </row>
    <row r="243" spans="1:33" x14ac:dyDescent="0.2">
      <c r="A243" t="str">
        <f>PLANURI!AX685</f>
        <v>L420.19.08.S2-06</v>
      </c>
      <c r="B243">
        <f>PLANURI!AY685</f>
        <v>6</v>
      </c>
      <c r="C243" t="str">
        <f>PLANURI!AZ685</f>
        <v>Opțional 4-împachetat (P4)
Procese si echipamente de fabricatie</v>
      </c>
      <c r="D243">
        <f>PLANURI!BA685</f>
        <v>4</v>
      </c>
      <c r="E243" t="str">
        <f>PLANURI!BB685</f>
        <v>8</v>
      </c>
      <c r="F243" t="str">
        <f>PLANURI!BC685</f>
        <v>E</v>
      </c>
      <c r="G243" t="str">
        <f>PLANURI!BD685</f>
        <v>DO</v>
      </c>
      <c r="H243">
        <f>PLANURI!BE685</f>
        <v>0</v>
      </c>
      <c r="I243">
        <f>PLANURI!BF685</f>
        <v>2</v>
      </c>
      <c r="J243">
        <f>PLANURI!BG685</f>
        <v>2</v>
      </c>
      <c r="K243">
        <f>PLANURI!BH685</f>
        <v>0</v>
      </c>
      <c r="L243">
        <f>PLANURI!BI685</f>
        <v>28</v>
      </c>
      <c r="M243">
        <f>PLANURI!BJ685</f>
        <v>28</v>
      </c>
      <c r="N243">
        <f>PLANURI!BK685</f>
        <v>0</v>
      </c>
      <c r="O243">
        <f>PLANURI!BL685</f>
        <v>0</v>
      </c>
      <c r="P243">
        <f>PLANURI!BM685</f>
        <v>0</v>
      </c>
      <c r="Q243">
        <f>PLANURI!BN685</f>
        <v>0</v>
      </c>
      <c r="R243">
        <f>PLANURI!BO685</f>
        <v>0</v>
      </c>
      <c r="S243">
        <f>PLANURI!BP685</f>
        <v>0</v>
      </c>
      <c r="T243">
        <f>PLANURI!BQ685</f>
        <v>5.0999999999999996</v>
      </c>
      <c r="U243">
        <f>PLANURI!BR685</f>
        <v>72</v>
      </c>
      <c r="V243">
        <f>PLANURI!BS685</f>
        <v>4</v>
      </c>
      <c r="W243" t="str">
        <f>PLANURI!BT685</f>
        <v>DS</v>
      </c>
      <c r="X243">
        <f>PLANURI!BU685</f>
        <v>7.1</v>
      </c>
      <c r="Y243">
        <f>PLANURI!BV685</f>
        <v>100</v>
      </c>
      <c r="Z243" t="str">
        <f>PLANURI!A$4</f>
        <v>Facultatea de Mecanică</v>
      </c>
      <c r="AA243" t="str">
        <f>PLANURI!H$6</f>
        <v xml:space="preserve"> Ştiinţe inginereşti</v>
      </c>
      <c r="AB243">
        <f>PLANURI!C$12</f>
        <v>130</v>
      </c>
      <c r="AC243" t="str">
        <f>PLANURI!H$9</f>
        <v>Tehnologia Constructiilor de Masini</v>
      </c>
      <c r="AD243">
        <f>PLANURI!A$12</f>
        <v>20</v>
      </c>
      <c r="AE243">
        <f>PLANURI!B$12</f>
        <v>70</v>
      </c>
      <c r="AF243">
        <f>PLANURI!D$12</f>
        <v>10</v>
      </c>
      <c r="AG243" t="str">
        <f>PLANURI!BW685</f>
        <v>2022</v>
      </c>
    </row>
    <row r="244" spans="1:33" x14ac:dyDescent="0.2">
      <c r="A244" t="str">
        <f>PLANURI!AX686</f>
        <v>L420.19.08.S3-07</v>
      </c>
      <c r="B244">
        <f>PLANURI!AY686</f>
        <v>7</v>
      </c>
      <c r="C244" t="str">
        <f>PLANURI!AZ686</f>
        <v>Opțional 5-împachetat (P4)
Inspectie dimensionala asistata de calculator</v>
      </c>
      <c r="D244">
        <f>PLANURI!BA686</f>
        <v>4</v>
      </c>
      <c r="E244" t="str">
        <f>PLANURI!BB686</f>
        <v>8</v>
      </c>
      <c r="F244" t="str">
        <f>PLANURI!BC686</f>
        <v>E</v>
      </c>
      <c r="G244" t="str">
        <f>PLANURI!BD686</f>
        <v>DO</v>
      </c>
      <c r="H244">
        <f>PLANURI!WL686</f>
        <v>0</v>
      </c>
      <c r="I244">
        <f>PLANURI!BF686</f>
        <v>1</v>
      </c>
      <c r="J244">
        <f>PLANURI!BG686</f>
        <v>1</v>
      </c>
      <c r="K244">
        <f>PLANURI!BH686</f>
        <v>0</v>
      </c>
      <c r="L244">
        <f>PLANURI!BI686</f>
        <v>14</v>
      </c>
      <c r="M244">
        <f>PLANURI!BJ686</f>
        <v>14</v>
      </c>
      <c r="N244">
        <f>PLANURI!BK686</f>
        <v>0</v>
      </c>
      <c r="O244">
        <f>PLANURI!BL686</f>
        <v>0</v>
      </c>
      <c r="P244">
        <f>PLANURI!BM686</f>
        <v>0</v>
      </c>
      <c r="Q244">
        <f>PLANURI!BN686</f>
        <v>0</v>
      </c>
      <c r="R244">
        <f>PLANURI!BO686</f>
        <v>0</v>
      </c>
      <c r="S244">
        <f>PLANURI!BP686</f>
        <v>0</v>
      </c>
      <c r="T244">
        <f>PLANURI!BQ686</f>
        <v>6.1</v>
      </c>
      <c r="U244">
        <f>PLANURI!BR686</f>
        <v>86</v>
      </c>
      <c r="V244">
        <f>PLANURI!BS686</f>
        <v>4</v>
      </c>
      <c r="W244" t="str">
        <f>PLANURI!BT686</f>
        <v>DS</v>
      </c>
      <c r="X244">
        <f>PLANURI!BU686</f>
        <v>7.1</v>
      </c>
      <c r="Y244">
        <f>PLANURI!BV686</f>
        <v>100</v>
      </c>
      <c r="Z244" t="str">
        <f>PLANURI!A$4</f>
        <v>Facultatea de Mecanică</v>
      </c>
      <c r="AA244" t="str">
        <f>PLANURI!H$6</f>
        <v xml:space="preserve"> Ştiinţe inginereşti</v>
      </c>
      <c r="AB244">
        <f>PLANURI!C$12</f>
        <v>130</v>
      </c>
      <c r="AC244" t="str">
        <f>PLANURI!H$9</f>
        <v>Tehnologia Constructiilor de Masini</v>
      </c>
      <c r="AD244">
        <f>PLANURI!A$12</f>
        <v>20</v>
      </c>
      <c r="AE244">
        <f>PLANURI!B$12</f>
        <v>70</v>
      </c>
      <c r="AF244">
        <f>PLANURI!D$12</f>
        <v>10</v>
      </c>
      <c r="AG244" t="str">
        <f>PLANURI!BW686</f>
        <v>2022</v>
      </c>
    </row>
    <row r="245" spans="1:33" x14ac:dyDescent="0.2">
      <c r="A245" t="str">
        <f>PLANURI!AX687</f>
        <v>L420.19.08.S4-08</v>
      </c>
      <c r="B245">
        <f>PLANURI!AY687</f>
        <v>8</v>
      </c>
      <c r="C245" t="str">
        <f>PLANURI!AZ687</f>
        <v>Opțional 6-împachetat(P4)
Tehnologia produselor injectate</v>
      </c>
      <c r="D245">
        <f>PLANURI!BA687</f>
        <v>4</v>
      </c>
      <c r="E245" t="str">
        <f>PLANURI!BB687</f>
        <v>8</v>
      </c>
      <c r="F245" t="str">
        <f>PLANURI!BC687</f>
        <v>E</v>
      </c>
      <c r="G245" t="str">
        <f>PLANURI!BD687</f>
        <v>DO</v>
      </c>
      <c r="H245">
        <f>PLANURI!BE687</f>
        <v>0</v>
      </c>
      <c r="I245">
        <f>PLANURI!BF687</f>
        <v>1</v>
      </c>
      <c r="J245">
        <f>PLANURI!BG687</f>
        <v>1</v>
      </c>
      <c r="K245">
        <f>PLANURI!BH687</f>
        <v>0</v>
      </c>
      <c r="L245">
        <f>PLANURI!BI687</f>
        <v>14</v>
      </c>
      <c r="M245">
        <f>PLANURI!BJ687</f>
        <v>14</v>
      </c>
      <c r="N245">
        <f>PLANURI!BK687</f>
        <v>0</v>
      </c>
      <c r="O245">
        <f>PLANURI!BL687</f>
        <v>0</v>
      </c>
      <c r="P245">
        <f>PLANURI!BM687</f>
        <v>0</v>
      </c>
      <c r="Q245">
        <f>PLANURI!BN687</f>
        <v>0</v>
      </c>
      <c r="R245">
        <f>PLANURI!BO687</f>
        <v>0</v>
      </c>
      <c r="S245">
        <f>PLANURI!BP687</f>
        <v>0</v>
      </c>
      <c r="T245">
        <f>PLANURI!BQ687</f>
        <v>4.4000000000000004</v>
      </c>
      <c r="U245">
        <f>PLANURI!BR687</f>
        <v>61</v>
      </c>
      <c r="V245">
        <f>PLANURI!BS687</f>
        <v>3</v>
      </c>
      <c r="W245" t="str">
        <f>PLANURI!BT687</f>
        <v>DS</v>
      </c>
      <c r="X245">
        <f>PLANURI!BU687</f>
        <v>5.4</v>
      </c>
      <c r="Y245">
        <f>PLANURI!BV687</f>
        <v>75</v>
      </c>
      <c r="Z245" t="str">
        <f>PLANURI!A$4</f>
        <v>Facultatea de Mecanică</v>
      </c>
      <c r="AA245" t="str">
        <f>PLANURI!H$6</f>
        <v xml:space="preserve"> Ştiinţe inginereşti</v>
      </c>
      <c r="AB245">
        <f>PLANURI!C$12</f>
        <v>130</v>
      </c>
      <c r="AC245" t="str">
        <f>PLANURI!H$9</f>
        <v>Tehnologia Constructiilor de Masini</v>
      </c>
      <c r="AD245">
        <f>PLANURI!A$12</f>
        <v>20</v>
      </c>
      <c r="AE245">
        <f>PLANURI!B$12</f>
        <v>70</v>
      </c>
      <c r="AF245">
        <f>PLANURI!D$12</f>
        <v>10</v>
      </c>
      <c r="AG245" t="str">
        <f>PLANURI!BW687</f>
        <v>2022</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130</v>
      </c>
      <c r="AC246" t="str">
        <f>PLANURI!H$9</f>
        <v>Tehnologia Constructiilor de Masini</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130</v>
      </c>
      <c r="AC247" t="str">
        <f>PLANURI!H$9</f>
        <v>Tehnologia Constructiilor de Masini</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130</v>
      </c>
      <c r="AC248" t="str">
        <f>PLANURI!H$9</f>
        <v>Tehnologia Constructiilor de Masini</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130</v>
      </c>
      <c r="AC249" t="str">
        <f>PLANURI!H$9</f>
        <v>Tehnologia Constructiilor de Masini</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130</v>
      </c>
      <c r="AC250" t="str">
        <f>PLANURI!H$9</f>
        <v>Tehnologia Constructiilor de Masini</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130</v>
      </c>
      <c r="AC251" t="str">
        <f>PLANURI!H$9</f>
        <v>Tehnologia Constructiilor de Masini</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130</v>
      </c>
      <c r="AC252" t="str">
        <f>PLANURI!H$9</f>
        <v>Tehnologia Constructiilor de Masini</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130</v>
      </c>
      <c r="AC253" t="str">
        <f>PLANURI!H$9</f>
        <v>Tehnologia Constructiilor de Masini</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130</v>
      </c>
      <c r="AC254" t="str">
        <f>PLANURI!H$9</f>
        <v>Tehnologia Constructiilor de Masini</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130</v>
      </c>
      <c r="AC255" t="str">
        <f>PLANURI!H$9</f>
        <v>Tehnologia Constructiilor de Masini</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130</v>
      </c>
      <c r="AC256" t="str">
        <f>PLANURI!H$9</f>
        <v>Tehnologia Constructiilor de Masini</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130</v>
      </c>
      <c r="AC257" t="str">
        <f>PLANURI!H$9</f>
        <v>Tehnologia Constructiilor de Masini</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130</v>
      </c>
      <c r="AC258" t="str">
        <f>PLANURI!H$9</f>
        <v>Tehnologia Constructiilor de Masini</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130</v>
      </c>
      <c r="AC259" t="str">
        <f>PLANURI!H$9</f>
        <v>Tehnologia Constructiilor de Masini</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130</v>
      </c>
      <c r="AC260" t="str">
        <f>PLANURI!H$9</f>
        <v>Tehnologia Constructiilor de Masini</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130</v>
      </c>
      <c r="AC261" t="str">
        <f>PLANURI!H$9</f>
        <v>Tehnologia Constructiilor de Masini</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130</v>
      </c>
      <c r="AC262" t="str">
        <f>PLANURI!H$9</f>
        <v>Tehnologia Constructiilor de Masini</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130</v>
      </c>
      <c r="AC263" t="str">
        <f>PLANURI!H$9</f>
        <v>Tehnologia Constructiilor de Masini</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130</v>
      </c>
      <c r="AC264" t="str">
        <f>PLANURI!H$9</f>
        <v>Tehnologia Constructiilor de Masini</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130</v>
      </c>
      <c r="AC265" t="str">
        <f>PLANURI!H$9</f>
        <v>Tehnologia Constructiilor de Masini</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130</v>
      </c>
      <c r="AC266" t="str">
        <f>PLANURI!H$9</f>
        <v>Tehnologia Constructiilor de Masini</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130</v>
      </c>
      <c r="AC267" t="str">
        <f>PLANURI!H$9</f>
        <v>Tehnologia Constructiilor de Masini</v>
      </c>
      <c r="AD267">
        <f>PLANURI!A$12</f>
        <v>20</v>
      </c>
      <c r="AE267">
        <f>PLANURI!B$12</f>
        <v>70</v>
      </c>
      <c r="AF267">
        <f>PLANURI!D$12</f>
        <v>10</v>
      </c>
      <c r="AG267" t="e">
        <f>PLANURI!BW709</f>
        <v>#VALUE!</v>
      </c>
    </row>
    <row r="268" spans="1:33" x14ac:dyDescent="0.2">
      <c r="A268" t="str">
        <f>PLANURI!AX710</f>
        <v>L420.19.01.C11-01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2</v>
      </c>
      <c r="K268">
        <f>PLANURI!BH710</f>
        <v>0</v>
      </c>
      <c r="L268">
        <f>PLANURI!BI710</f>
        <v>28</v>
      </c>
      <c r="M268">
        <f>PLANURI!BJ710</f>
        <v>28</v>
      </c>
      <c r="N268">
        <f>PLANURI!BK710</f>
        <v>0</v>
      </c>
      <c r="O268">
        <f>PLANURI!BL710</f>
        <v>0</v>
      </c>
      <c r="P268">
        <f>PLANURI!BM710</f>
        <v>0</v>
      </c>
      <c r="Q268">
        <f>PLANURI!BN710</f>
        <v>0</v>
      </c>
      <c r="R268">
        <f>PLANURI!BO710</f>
        <v>0</v>
      </c>
      <c r="S268">
        <f>PLANURI!BP710</f>
        <v>0</v>
      </c>
      <c r="T268">
        <f>PLANURI!BQ710</f>
        <v>5.0999999999999996</v>
      </c>
      <c r="U268">
        <f>PLANURI!BR710</f>
        <v>72</v>
      </c>
      <c r="V268">
        <f>PLANURI!BS710</f>
        <v>4</v>
      </c>
      <c r="W268" t="str">
        <f>PLANURI!BT710</f>
        <v>DC</v>
      </c>
      <c r="X268">
        <f>PLANURI!BU710</f>
        <v>7.1</v>
      </c>
      <c r="Y268">
        <f>PLANURI!BV710</f>
        <v>100</v>
      </c>
      <c r="Z268" t="str">
        <f>PLANURI!A$4</f>
        <v>Facultatea de Mecanică</v>
      </c>
      <c r="AA268" t="str">
        <f>PLANURI!H$6</f>
        <v xml:space="preserve"> Ştiinţe inginereşti</v>
      </c>
      <c r="AB268">
        <f>PLANURI!C$12</f>
        <v>130</v>
      </c>
      <c r="AC268" t="str">
        <f>PLANURI!H$9</f>
        <v>Tehnologia Constructiilor de Masini</v>
      </c>
      <c r="AD268">
        <f>PLANURI!A$12</f>
        <v>20</v>
      </c>
      <c r="AE268">
        <f>PLANURI!B$12</f>
        <v>70</v>
      </c>
      <c r="AF268">
        <f>PLANURI!D$12</f>
        <v>10</v>
      </c>
      <c r="AG268" t="str">
        <f>PLANURI!BW710</f>
        <v>2019</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130</v>
      </c>
      <c r="AC269" t="str">
        <f>PLANURI!H$9</f>
        <v>Tehnologia Constructiilor de Masini</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130</v>
      </c>
      <c r="AC270" t="str">
        <f>PLANURI!H$9</f>
        <v>Tehnologia Constructiilor de Masini</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130</v>
      </c>
      <c r="AC271" t="str">
        <f>PLANURI!H$9</f>
        <v>Tehnologia Constructiilor de Masini</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130</v>
      </c>
      <c r="AC272" t="str">
        <f>PLANURI!H$9</f>
        <v>Tehnologia Constructiilor de Masini</v>
      </c>
      <c r="AD272">
        <f>PLANURI!A$12</f>
        <v>20</v>
      </c>
      <c r="AE272">
        <f>PLANURI!B$12</f>
        <v>70</v>
      </c>
      <c r="AF272">
        <f>PLANURI!D$12</f>
        <v>10</v>
      </c>
      <c r="AG272" t="str">
        <f>PLANURI!BW714</f>
        <v/>
      </c>
    </row>
    <row r="273" spans="1:33" x14ac:dyDescent="0.2">
      <c r="A273" t="str">
        <f>PLANURI!AX715</f>
        <v>L420.19.02.C11-01</v>
      </c>
      <c r="B273">
        <f>PLANURI!AY715</f>
        <v>1</v>
      </c>
      <c r="C273" t="str">
        <f>PLANURI!AZ715</f>
        <v>Pedagogie 1</v>
      </c>
      <c r="D273">
        <f>PLANURI!BA715</f>
        <v>1</v>
      </c>
      <c r="E273" t="str">
        <f>PLANURI!BB715</f>
        <v>2</v>
      </c>
      <c r="F273" t="str">
        <f>PLANURI!BC715</f>
        <v>E</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6.9</v>
      </c>
      <c r="U273">
        <f>PLANURI!BR715</f>
        <v>97</v>
      </c>
      <c r="V273">
        <f>PLANURI!BS715</f>
        <v>5</v>
      </c>
      <c r="W273" t="str">
        <f>PLANURI!BT715</f>
        <v>DC</v>
      </c>
      <c r="X273">
        <f>PLANURI!BU715</f>
        <v>8.9</v>
      </c>
      <c r="Y273">
        <f>PLANURI!BV715</f>
        <v>125</v>
      </c>
      <c r="Z273" t="str">
        <f>PLANURI!A$4</f>
        <v>Facultatea de Mecanică</v>
      </c>
      <c r="AA273" t="str">
        <f>PLANURI!H$6</f>
        <v xml:space="preserve"> Ştiinţe inginereşti</v>
      </c>
      <c r="AB273">
        <f>PLANURI!C$12</f>
        <v>130</v>
      </c>
      <c r="AC273" t="str">
        <f>PLANURI!H$9</f>
        <v>Tehnologia Constructiilor de Masini</v>
      </c>
      <c r="AD273">
        <f>PLANURI!A$12</f>
        <v>20</v>
      </c>
      <c r="AE273">
        <f>PLANURI!B$12</f>
        <v>70</v>
      </c>
      <c r="AF273">
        <f>PLANURI!D$12</f>
        <v>10</v>
      </c>
      <c r="AG273" t="str">
        <f>PLANURI!BW715</f>
        <v>2019</v>
      </c>
    </row>
    <row r="274" spans="1:33" x14ac:dyDescent="0.2">
      <c r="A274" t="str">
        <f>PLANURI!AX716</f>
        <v>L420.19.02.C11-02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DC</v>
      </c>
      <c r="X274">
        <f>PLANURI!BU716</f>
        <v>3.6</v>
      </c>
      <c r="Y274">
        <f>PLANURI!BV716</f>
        <v>50</v>
      </c>
      <c r="Z274" t="str">
        <f>PLANURI!A$4</f>
        <v>Facultatea de Mecanică</v>
      </c>
      <c r="AA274" t="str">
        <f>PLANURI!H$6</f>
        <v xml:space="preserve"> Ştiinţe inginereşti</v>
      </c>
      <c r="AB274">
        <f>PLANURI!C$12</f>
        <v>130</v>
      </c>
      <c r="AC274" t="str">
        <f>PLANURI!H$9</f>
        <v>Tehnologia Constructiilor de Masini</v>
      </c>
      <c r="AD274">
        <f>PLANURI!A$12</f>
        <v>20</v>
      </c>
      <c r="AE274">
        <f>PLANURI!B$12</f>
        <v>70</v>
      </c>
      <c r="AF274">
        <f>PLANURI!D$12</f>
        <v>10</v>
      </c>
      <c r="AG274" t="str">
        <f>PLANURI!BW716</f>
        <v>2019</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130</v>
      </c>
      <c r="AC275" t="str">
        <f>PLANURI!H$9</f>
        <v>Tehnologia Constructiilor de Masini</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130</v>
      </c>
      <c r="AC276" t="str">
        <f>PLANURI!H$9</f>
        <v>Tehnologia Constructiilor de Masini</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130</v>
      </c>
      <c r="AC277" t="str">
        <f>PLANURI!H$9</f>
        <v>Tehnologia Constructiilor de Masini</v>
      </c>
      <c r="AD277">
        <f>PLANURI!A$12</f>
        <v>20</v>
      </c>
      <c r="AE277">
        <f>PLANURI!B$12</f>
        <v>70</v>
      </c>
      <c r="AF277">
        <f>PLANURI!D$12</f>
        <v>10</v>
      </c>
      <c r="AG277" t="str">
        <f>PLANURI!BW719</f>
        <v/>
      </c>
    </row>
    <row r="278" spans="1:33" x14ac:dyDescent="0.2">
      <c r="A278" t="str">
        <f>PLANURI!AX720</f>
        <v>L420.19.03.C11-01</v>
      </c>
      <c r="B278">
        <f>PLANURI!AY720</f>
        <v>1</v>
      </c>
      <c r="C278" t="str">
        <f>PLANURI!AZ720</f>
        <v>Pedagogie 2</v>
      </c>
      <c r="D278">
        <f>PLANURI!BA720</f>
        <v>2</v>
      </c>
      <c r="E278" t="str">
        <f>PLANURI!BB720</f>
        <v>3</v>
      </c>
      <c r="F278" t="str">
        <f>PLANURI!BC720</f>
        <v>E</v>
      </c>
      <c r="G278" t="str">
        <f>PLANURI!BD720</f>
        <v>DF</v>
      </c>
      <c r="H278">
        <f>PLANURI!WL720</f>
        <v>0</v>
      </c>
      <c r="I278">
        <f>PLANURI!BF720</f>
        <v>2</v>
      </c>
      <c r="J278">
        <f>PLANURI!BG720</f>
        <v>2</v>
      </c>
      <c r="K278">
        <f>PLANURI!BH720</f>
        <v>0</v>
      </c>
      <c r="L278">
        <f>PLANURI!BI720</f>
        <v>28</v>
      </c>
      <c r="M278">
        <f>PLANURI!BJ720</f>
        <v>28</v>
      </c>
      <c r="N278">
        <f>PLANURI!BK720</f>
        <v>0</v>
      </c>
      <c r="O278">
        <f>PLANURI!BL720</f>
        <v>0</v>
      </c>
      <c r="P278">
        <f>PLANURI!BM720</f>
        <v>0</v>
      </c>
      <c r="Q278">
        <f>PLANURI!BN720</f>
        <v>0</v>
      </c>
      <c r="R278">
        <f>PLANURI!BO720</f>
        <v>0</v>
      </c>
      <c r="S278">
        <f>PLANURI!BP720</f>
        <v>0</v>
      </c>
      <c r="T278">
        <f>PLANURI!BQ720</f>
        <v>6.9</v>
      </c>
      <c r="U278">
        <f>PLANURI!BR720</f>
        <v>97</v>
      </c>
      <c r="V278">
        <f>PLANURI!BS720</f>
        <v>5</v>
      </c>
      <c r="W278" t="str">
        <f>PLANURI!BT720</f>
        <v>DC</v>
      </c>
      <c r="X278">
        <f>PLANURI!BU720</f>
        <v>8.9</v>
      </c>
      <c r="Y278">
        <f>PLANURI!BV720</f>
        <v>125</v>
      </c>
      <c r="Z278" t="str">
        <f>PLANURI!A$4</f>
        <v>Facultatea de Mecanică</v>
      </c>
      <c r="AA278" t="str">
        <f>PLANURI!H$6</f>
        <v xml:space="preserve"> Ştiinţe inginereşti</v>
      </c>
      <c r="AB278">
        <f>PLANURI!C$12</f>
        <v>130</v>
      </c>
      <c r="AC278" t="str">
        <f>PLANURI!H$9</f>
        <v>Tehnologia Constructiilor de Masini</v>
      </c>
      <c r="AD278">
        <f>PLANURI!A$12</f>
        <v>20</v>
      </c>
      <c r="AE278">
        <f>PLANURI!B$12</f>
        <v>70</v>
      </c>
      <c r="AF278">
        <f>PLANURI!D$12</f>
        <v>10</v>
      </c>
      <c r="AG278" t="str">
        <f>PLANURI!BW720</f>
        <v>2020</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130</v>
      </c>
      <c r="AC279" t="str">
        <f>PLANURI!H$9</f>
        <v>Tehnologia Constructiilor de Masini</v>
      </c>
      <c r="AD279">
        <f>PLANURI!A$12</f>
        <v>20</v>
      </c>
      <c r="AE279">
        <f>PLANURI!B$12</f>
        <v>70</v>
      </c>
      <c r="AF279">
        <f>PLANURI!D$12</f>
        <v>10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130</v>
      </c>
      <c r="AC280" t="str">
        <f>PLANURI!H$9</f>
        <v>Tehnologia Constructiilor de Masini</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130</v>
      </c>
      <c r="AC281" t="str">
        <f>PLANURI!H$9</f>
        <v>Tehnologia Constructiilor de Masini</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130</v>
      </c>
      <c r="AC282" t="str">
        <f>PLANURI!H$9</f>
        <v>Tehnologia Constructiilor de Masini</v>
      </c>
      <c r="AD282">
        <f>PLANURI!A$12</f>
        <v>20</v>
      </c>
      <c r="AE282">
        <f>PLANURI!B$12</f>
        <v>70</v>
      </c>
      <c r="AF282">
        <f>PLANURI!D$12</f>
        <v>10</v>
      </c>
      <c r="AG282" t="str">
        <f>PLANURI!BW724</f>
        <v/>
      </c>
    </row>
    <row r="283" spans="1:33" x14ac:dyDescent="0.2">
      <c r="A283" t="str">
        <f>PLANURI!AX725</f>
        <v>L420.19.04.C11-01</v>
      </c>
      <c r="B283">
        <f>PLANURI!AY725</f>
        <v>1</v>
      </c>
      <c r="C283" t="str">
        <f>PLANURI!AZ725</f>
        <v>Responsabilitate socială şi activism civic</v>
      </c>
      <c r="D283">
        <f>PLANURI!BA725</f>
        <v>2</v>
      </c>
      <c r="E283" t="str">
        <f>PLANURI!BB725</f>
        <v>4</v>
      </c>
      <c r="F283" t="str">
        <f>PLANURI!BC725</f>
        <v>E</v>
      </c>
      <c r="G283" t="str">
        <f>PLANURI!BD725</f>
        <v>DF</v>
      </c>
      <c r="H283">
        <f>PLANURI!BE725</f>
        <v>0</v>
      </c>
      <c r="I283">
        <f>PLANURI!BF725</f>
        <v>2</v>
      </c>
      <c r="J283">
        <f>PLANURI!BG725</f>
        <v>2</v>
      </c>
      <c r="K283">
        <f>PLANURI!BH725</f>
        <v>0</v>
      </c>
      <c r="L283">
        <f>PLANURI!BI725</f>
        <v>28</v>
      </c>
      <c r="M283">
        <f>PLANURI!BJ725</f>
        <v>28</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2</v>
      </c>
      <c r="Y283">
        <f>PLANURI!BV725</f>
        <v>28</v>
      </c>
      <c r="Z283" t="str">
        <f>PLANURI!A$4</f>
        <v>Facultatea de Mecanică</v>
      </c>
      <c r="AA283" t="str">
        <f>PLANURI!H$6</f>
        <v xml:space="preserve"> Ştiinţe inginereşti</v>
      </c>
      <c r="AB283">
        <f>PLANURI!C$12</f>
        <v>130</v>
      </c>
      <c r="AC283" t="str">
        <f>PLANURI!H$9</f>
        <v>Tehnologia Constructiilor de Masini</v>
      </c>
      <c r="AD283">
        <f>PLANURI!A$12</f>
        <v>20</v>
      </c>
      <c r="AE283">
        <f>PLANURI!B$12</f>
        <v>70</v>
      </c>
      <c r="AF283">
        <f>PLANURI!D$12</f>
        <v>10</v>
      </c>
      <c r="AG283" t="str">
        <f>PLANURI!BW725</f>
        <v>2020</v>
      </c>
    </row>
    <row r="284" spans="1:33" x14ac:dyDescent="0.2">
      <c r="A284" t="str">
        <f>PLANURI!AX726</f>
        <v>L420.19.04.C11-02</v>
      </c>
      <c r="B284">
        <f>PLANURI!AY726</f>
        <v>2</v>
      </c>
      <c r="C284" t="str">
        <f>PLANURI!AZ726</f>
        <v>Didactica specialităţii</v>
      </c>
      <c r="D284">
        <f>PLANURI!BA726</f>
        <v>2</v>
      </c>
      <c r="E284" t="str">
        <f>PLANURI!BB726</f>
        <v>4</v>
      </c>
      <c r="F284" t="str">
        <f>PLANURI!BC726</f>
        <v>E</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6.9</v>
      </c>
      <c r="U284">
        <f>PLANURI!BR726</f>
        <v>97</v>
      </c>
      <c r="V284">
        <f>PLANURI!BS726</f>
        <v>5</v>
      </c>
      <c r="W284" t="str">
        <f>PLANURI!BT726</f>
        <v>DC</v>
      </c>
      <c r="X284">
        <f>PLANURI!BU726</f>
        <v>8.9</v>
      </c>
      <c r="Y284">
        <f>PLANURI!BV726</f>
        <v>125</v>
      </c>
      <c r="Z284" t="str">
        <f>PLANURI!A$4</f>
        <v>Facultatea de Mecanică</v>
      </c>
      <c r="AA284" t="str">
        <f>PLANURI!H$6</f>
        <v xml:space="preserve"> Ştiinţe inginereşti</v>
      </c>
      <c r="AB284">
        <f>PLANURI!C$12</f>
        <v>130</v>
      </c>
      <c r="AC284" t="str">
        <f>PLANURI!H$9</f>
        <v>Tehnologia Constructiilor de Masini</v>
      </c>
      <c r="AD284">
        <f>PLANURI!A$12</f>
        <v>20</v>
      </c>
      <c r="AE284">
        <f>PLANURI!B$12</f>
        <v>70</v>
      </c>
      <c r="AF284">
        <f>PLANURI!D$12</f>
        <v>10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130</v>
      </c>
      <c r="AC285" t="str">
        <f>PLANURI!H$9</f>
        <v>Tehnologia Constructiilor de Masini</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130</v>
      </c>
      <c r="AC286" t="str">
        <f>PLANURI!H$9</f>
        <v>Tehnologia Constructiilor de Masini</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130</v>
      </c>
      <c r="AC287" t="str">
        <f>PLANURI!H$9</f>
        <v>Tehnologia Constructiilor de Masini</v>
      </c>
      <c r="AD287">
        <f>PLANURI!A$12</f>
        <v>20</v>
      </c>
      <c r="AE287">
        <f>PLANURI!B$12</f>
        <v>70</v>
      </c>
      <c r="AF287">
        <f>PLANURI!D$12</f>
        <v>10</v>
      </c>
      <c r="AG287" t="str">
        <f>PLANURI!BW729</f>
        <v/>
      </c>
    </row>
    <row r="288" spans="1:33" x14ac:dyDescent="0.2">
      <c r="A288" t="str">
        <f>PLANURI!AX730</f>
        <v>L420.19.05.C11-01</v>
      </c>
      <c r="B288">
        <f>PLANURI!AY730</f>
        <v>1</v>
      </c>
      <c r="C288" t="str">
        <f>PLANURI!AZ730</f>
        <v xml:space="preserve">Comunicare educaţională </v>
      </c>
      <c r="D288">
        <f>PLANURI!BA730</f>
        <v>3</v>
      </c>
      <c r="E288" t="str">
        <f>PLANURI!BB730</f>
        <v>5</v>
      </c>
      <c r="F288" t="str">
        <f>PLANURI!BC730</f>
        <v>C</v>
      </c>
      <c r="G288" t="str">
        <f>PLANURI!BD730</f>
        <v>DF</v>
      </c>
      <c r="H288">
        <f>PLANURI!WL730</f>
        <v>0</v>
      </c>
      <c r="I288">
        <f>PLANURI!BF730</f>
        <v>2</v>
      </c>
      <c r="J288">
        <f>PLANURI!BG730</f>
        <v>2</v>
      </c>
      <c r="K288">
        <f>PLANURI!BH730</f>
        <v>0</v>
      </c>
      <c r="L288">
        <f>PLANURI!BI730</f>
        <v>28</v>
      </c>
      <c r="M288">
        <f>PLANURI!BJ730</f>
        <v>28</v>
      </c>
      <c r="N288">
        <f>PLANURI!BK730</f>
        <v>0</v>
      </c>
      <c r="O288">
        <f>PLANURI!BL730</f>
        <v>0</v>
      </c>
      <c r="P288">
        <f>PLANURI!BM730</f>
        <v>0</v>
      </c>
      <c r="Q288">
        <f>PLANURI!BN730</f>
        <v>0</v>
      </c>
      <c r="R288">
        <f>PLANURI!BO730</f>
        <v>0</v>
      </c>
      <c r="S288">
        <f>PLANURI!BP730</f>
        <v>0</v>
      </c>
      <c r="T288">
        <f>PLANURI!BQ730</f>
        <v>5.0999999999999996</v>
      </c>
      <c r="U288">
        <f>PLANURI!BR730</f>
        <v>72</v>
      </c>
      <c r="V288">
        <f>PLANURI!BS730</f>
        <v>4</v>
      </c>
      <c r="W288" t="str">
        <f>PLANURI!BT730</f>
        <v>DC</v>
      </c>
      <c r="X288">
        <f>PLANURI!BU730</f>
        <v>7.1</v>
      </c>
      <c r="Y288">
        <f>PLANURI!BV730</f>
        <v>100</v>
      </c>
      <c r="Z288" t="str">
        <f>PLANURI!A$4</f>
        <v>Facultatea de Mecanică</v>
      </c>
      <c r="AA288" t="str">
        <f>PLANURI!H$6</f>
        <v xml:space="preserve"> Ştiinţe inginereşti</v>
      </c>
      <c r="AB288">
        <f>PLANURI!C$12</f>
        <v>130</v>
      </c>
      <c r="AC288" t="str">
        <f>PLANURI!H$9</f>
        <v>Tehnologia Constructiilor de Masini</v>
      </c>
      <c r="AD288">
        <f>PLANURI!A$12</f>
        <v>20</v>
      </c>
      <c r="AE288">
        <f>PLANURI!B$12</f>
        <v>70</v>
      </c>
      <c r="AF288">
        <f>PLANURI!D$12</f>
        <v>10</v>
      </c>
      <c r="AG288" t="str">
        <f>PLANURI!BW730</f>
        <v>2021</v>
      </c>
    </row>
    <row r="289" spans="1:33" x14ac:dyDescent="0.2">
      <c r="A289" t="str">
        <f>PLANURI!AX731</f>
        <v>L420.19.05.C11-02</v>
      </c>
      <c r="B289">
        <f>PLANURI!AY731</f>
        <v>2</v>
      </c>
      <c r="C289" t="str">
        <f>PLANURI!AZ731</f>
        <v>Practică pedagogică</v>
      </c>
      <c r="D289">
        <f>PLANURI!BA731</f>
        <v>3</v>
      </c>
      <c r="E289" t="str">
        <f>PLANURI!BB731</f>
        <v>5</v>
      </c>
      <c r="F289" t="str">
        <f>PLANURI!BC731</f>
        <v>C</v>
      </c>
      <c r="G289" t="str">
        <f>PLANURI!BD731</f>
        <v>DF</v>
      </c>
      <c r="H289">
        <f>PLANURI!BE731</f>
        <v>0</v>
      </c>
      <c r="I289">
        <f>PLANURI!BF731</f>
        <v>3</v>
      </c>
      <c r="J289">
        <f>PLANURI!BG731</f>
        <v>3</v>
      </c>
      <c r="K289">
        <f>PLANURI!BH731</f>
        <v>0</v>
      </c>
      <c r="L289">
        <f>PLANURI!BI731</f>
        <v>42</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DC</v>
      </c>
      <c r="X289">
        <f>PLANURI!BU731</f>
        <v>5.4</v>
      </c>
      <c r="Y289">
        <f>PLANURI!BV731</f>
        <v>75</v>
      </c>
      <c r="Z289" t="str">
        <f>PLANURI!A$4</f>
        <v>Facultatea de Mecanică</v>
      </c>
      <c r="AA289" t="str">
        <f>PLANURI!H$6</f>
        <v xml:space="preserve"> Ştiinţe inginereşti</v>
      </c>
      <c r="AB289">
        <f>PLANURI!C$12</f>
        <v>130</v>
      </c>
      <c r="AC289" t="str">
        <f>PLANURI!H$9</f>
        <v>Tehnologia Constructiilor de Masini</v>
      </c>
      <c r="AD289">
        <f>PLANURI!A$12</f>
        <v>20</v>
      </c>
      <c r="AE289">
        <f>PLANURI!B$12</f>
        <v>70</v>
      </c>
      <c r="AF289">
        <f>PLANURI!D$12</f>
        <v>10</v>
      </c>
      <c r="AG289" t="str">
        <f>PLANURI!BW731</f>
        <v>2021</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130</v>
      </c>
      <c r="AC290" t="str">
        <f>PLANURI!H$9</f>
        <v>Tehnologia Constructiilor de Masini</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130</v>
      </c>
      <c r="AC291" t="str">
        <f>PLANURI!H$9</f>
        <v>Tehnologia Constructiilor de Masini</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130</v>
      </c>
      <c r="AC292" t="str">
        <f>PLANURI!H$9</f>
        <v>Tehnologia Constructiilor de Masini</v>
      </c>
      <c r="AD292">
        <f>PLANURI!A$12</f>
        <v>20</v>
      </c>
      <c r="AE292">
        <f>PLANURI!B$12</f>
        <v>70</v>
      </c>
      <c r="AF292">
        <f>PLANURI!D$12</f>
        <v>10</v>
      </c>
      <c r="AG292" t="str">
        <f>PLANURI!BW734</f>
        <v/>
      </c>
    </row>
    <row r="293" spans="1:33" x14ac:dyDescent="0.2">
      <c r="A293" t="str">
        <f>PLANURI!AX735</f>
        <v>L420.19.06.C11-01</v>
      </c>
      <c r="B293">
        <f>PLANURI!AY735</f>
        <v>1</v>
      </c>
      <c r="C293" t="str">
        <f>PLANURI!AZ735</f>
        <v>Practică pedagogică 2</v>
      </c>
      <c r="D293">
        <f>PLANURI!BA735</f>
        <v>3</v>
      </c>
      <c r="E293" t="str">
        <f>PLANURI!BB735</f>
        <v>6</v>
      </c>
      <c r="F293" t="str">
        <f>PLANURI!BC735</f>
        <v>C</v>
      </c>
      <c r="G293" t="str">
        <f>PLANURI!BD735</f>
        <v>DF</v>
      </c>
      <c r="H293">
        <f>PLANURI!BE735</f>
        <v>0</v>
      </c>
      <c r="I293">
        <f>PLANURI!BF735</f>
        <v>3</v>
      </c>
      <c r="J293">
        <f>PLANURI!BG735</f>
        <v>3</v>
      </c>
      <c r="K293">
        <f>PLANURI!BH735</f>
        <v>0</v>
      </c>
      <c r="L293">
        <f>PLANURI!BI735</f>
        <v>42</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DC</v>
      </c>
      <c r="X293">
        <f>PLANURI!BU735</f>
        <v>5.4</v>
      </c>
      <c r="Y293">
        <f>PLANURI!BV735</f>
        <v>75</v>
      </c>
      <c r="Z293" t="str">
        <f>PLANURI!A$4</f>
        <v>Facultatea de Mecanică</v>
      </c>
      <c r="AA293" t="str">
        <f>PLANURI!H$6</f>
        <v xml:space="preserve"> Ştiinţe inginereşti</v>
      </c>
      <c r="AB293">
        <f>PLANURI!C$12</f>
        <v>130</v>
      </c>
      <c r="AC293" t="str">
        <f>PLANURI!H$9</f>
        <v>Tehnologia Constructiilor de Masini</v>
      </c>
      <c r="AD293">
        <f>PLANURI!A$12</f>
        <v>20</v>
      </c>
      <c r="AE293">
        <f>PLANURI!B$12</f>
        <v>70</v>
      </c>
      <c r="AF293">
        <f>PLANURI!D$12</f>
        <v>10</v>
      </c>
      <c r="AG293" t="str">
        <f>PLANURI!BW735</f>
        <v>2021</v>
      </c>
    </row>
    <row r="294" spans="1:33" x14ac:dyDescent="0.2">
      <c r="A294" t="str">
        <f>PLANURI!AX736</f>
        <v>L420.19.06.C11-02</v>
      </c>
      <c r="B294">
        <f>PLANURI!AY736</f>
        <v>2</v>
      </c>
      <c r="C294" t="str">
        <f>PLANURI!AZ736</f>
        <v>Evaluare finală - Portofoliu didactic</v>
      </c>
      <c r="D294">
        <f>PLANURI!BA736</f>
        <v>3</v>
      </c>
      <c r="E294" t="str">
        <f>PLANURI!BB736</f>
        <v>6</v>
      </c>
      <c r="F294" t="str">
        <f>PLANURI!BC736</f>
        <v>E</v>
      </c>
      <c r="G294" t="str">
        <f>PLANURI!BD736</f>
        <v>DF</v>
      </c>
      <c r="H294">
        <f>PLANURI!WL736</f>
        <v>0</v>
      </c>
      <c r="I294">
        <f>PLANURI!BF736</f>
        <v>1</v>
      </c>
      <c r="J294">
        <f>PLANURI!BG736</f>
        <v>1</v>
      </c>
      <c r="K294">
        <f>PLANURI!BH736</f>
        <v>0</v>
      </c>
      <c r="L294">
        <f>PLANURI!BI736</f>
        <v>14</v>
      </c>
      <c r="M294">
        <f>PLANURI!BJ736</f>
        <v>14</v>
      </c>
      <c r="N294">
        <f>PLANURI!BK736</f>
        <v>0</v>
      </c>
      <c r="O294">
        <f>PLANURI!BL736</f>
        <v>0</v>
      </c>
      <c r="P294">
        <f>PLANURI!BM736</f>
        <v>0</v>
      </c>
      <c r="Q294">
        <f>PLANURI!BN736</f>
        <v>0</v>
      </c>
      <c r="R294">
        <f>PLANURI!BO736</f>
        <v>0</v>
      </c>
      <c r="S294">
        <f>PLANURI!BP736</f>
        <v>0</v>
      </c>
      <c r="T294">
        <f>PLANURI!BQ736</f>
        <v>0.8</v>
      </c>
      <c r="U294">
        <f>PLANURI!BR736</f>
        <v>11</v>
      </c>
      <c r="V294">
        <f>PLANURI!BS736</f>
        <v>1</v>
      </c>
      <c r="W294" t="str">
        <f>PLANURI!BT736</f>
        <v>DC</v>
      </c>
      <c r="X294">
        <f>PLANURI!BU736</f>
        <v>1.8</v>
      </c>
      <c r="Y294">
        <f>PLANURI!BV736</f>
        <v>25</v>
      </c>
      <c r="Z294" t="str">
        <f>PLANURI!A$4</f>
        <v>Facultatea de Mecanică</v>
      </c>
      <c r="AA294" t="str">
        <f>PLANURI!H$6</f>
        <v xml:space="preserve"> Ştiinţe inginereşti</v>
      </c>
      <c r="AB294">
        <f>PLANURI!C$12</f>
        <v>130</v>
      </c>
      <c r="AC294" t="str">
        <f>PLANURI!H$9</f>
        <v>Tehnologia Constructiilor de Masini</v>
      </c>
      <c r="AD294">
        <f>PLANURI!A$12</f>
        <v>20</v>
      </c>
      <c r="AE294">
        <f>PLANURI!B$12</f>
        <v>70</v>
      </c>
      <c r="AF294">
        <f>PLANURI!D$12</f>
        <v>10</v>
      </c>
      <c r="AG294" t="str">
        <f>PLANURI!BW736</f>
        <v>2021</v>
      </c>
    </row>
    <row r="295" spans="1:33" x14ac:dyDescent="0.2">
      <c r="A295" t="str">
        <f>PLANURI!AX737</f>
        <v>L420.19.06.C11-03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DC</v>
      </c>
      <c r="X295">
        <f>PLANURI!BU737</f>
        <v>3.6</v>
      </c>
      <c r="Y295">
        <f>PLANURI!BV737</f>
        <v>50</v>
      </c>
      <c r="Z295" t="str">
        <f>PLANURI!A$4</f>
        <v>Facultatea de Mecanică</v>
      </c>
      <c r="AA295" t="str">
        <f>PLANURI!H$6</f>
        <v xml:space="preserve"> Ştiinţe inginereşti</v>
      </c>
      <c r="AB295">
        <f>PLANURI!C$12</f>
        <v>130</v>
      </c>
      <c r="AC295" t="str">
        <f>PLANURI!H$9</f>
        <v>Tehnologia Constructiilor de Masini</v>
      </c>
      <c r="AD295">
        <f>PLANURI!A$12</f>
        <v>20</v>
      </c>
      <c r="AE295">
        <f>PLANURI!B$12</f>
        <v>70</v>
      </c>
      <c r="AF295">
        <f>PLANURI!D$12</f>
        <v>10</v>
      </c>
      <c r="AG295" t="str">
        <f>PLANURI!BW737</f>
        <v>2021</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130</v>
      </c>
      <c r="AC296" t="str">
        <f>PLANURI!H$9</f>
        <v>Tehnologia Constructiilor de Masini</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130</v>
      </c>
      <c r="AC297" t="str">
        <f>PLANURI!H$9</f>
        <v>Tehnologia Constructiilor de Masini</v>
      </c>
      <c r="AD297">
        <f>PLANURI!A$12</f>
        <v>20</v>
      </c>
      <c r="AE297">
        <f>PLANURI!B$12</f>
        <v>70</v>
      </c>
      <c r="AF297">
        <f>PLANURI!D$12</f>
        <v>10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 xml:space="preserve"> Ştiinţe inginereşti</v>
      </c>
      <c r="AB298">
        <f>PLANURI!C$12</f>
        <v>130</v>
      </c>
      <c r="AC298" t="str">
        <f>PLANURI!H$9</f>
        <v>Tehnologia Constructiilor de Masini</v>
      </c>
      <c r="AD298">
        <f>PLANURI!A$12</f>
        <v>20</v>
      </c>
      <c r="AE298">
        <f>PLANURI!B$12</f>
        <v>70</v>
      </c>
      <c r="AF298">
        <f>PLANURI!D$12</f>
        <v>10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130</v>
      </c>
      <c r="AC299" t="str">
        <f>PLANURI!H$9</f>
        <v>Tehnologia Constructiilor de Masini</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130</v>
      </c>
      <c r="AC300" t="str">
        <f>PLANURI!H$9</f>
        <v>Tehnologia Constructiilor de Masini</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130</v>
      </c>
      <c r="AC301" t="str">
        <f>PLANURI!H$9</f>
        <v>Tehnologia Constructiilor de Masini</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130</v>
      </c>
      <c r="AC302" t="str">
        <f>PLANURI!H$9</f>
        <v>Tehnologia Constructiilor de Masini</v>
      </c>
      <c r="AD302">
        <f>PLANURI!A$12</f>
        <v>20</v>
      </c>
      <c r="AE302">
        <f>PLANURI!B$12</f>
        <v>70</v>
      </c>
      <c r="AF302">
        <f>PLANURI!D$12</f>
        <v>10</v>
      </c>
      <c r="AG302" t="str">
        <f>PLANURI!BW744</f>
        <v/>
      </c>
    </row>
    <row r="303" spans="1:33" x14ac:dyDescent="0.2">
      <c r="A303" t="str">
        <f>PLANURI!AX745</f>
        <v>L420.19.08.C11-01</v>
      </c>
      <c r="B303">
        <f>PLANURI!AY745</f>
        <v>1</v>
      </c>
      <c r="C303" t="str">
        <f>PLANURI!AZ745</f>
        <v>Voluntariat</v>
      </c>
      <c r="D303">
        <f>PLANURI!BA745</f>
        <v>4</v>
      </c>
      <c r="E303" t="str">
        <f>PLANURI!BB745</f>
        <v>8</v>
      </c>
      <c r="F303" t="str">
        <f>PLANURI!BC745</f>
        <v>C</v>
      </c>
      <c r="G303" t="str">
        <f>PLANURI!BD745</f>
        <v>DF</v>
      </c>
      <c r="H303">
        <f>PLANURI!BE745</f>
        <v>0</v>
      </c>
      <c r="I303">
        <f>PLANURI!BF745</f>
        <v>2</v>
      </c>
      <c r="J303">
        <f>PLANURI!BG745</f>
        <v>2</v>
      </c>
      <c r="K303">
        <f>PLANURI!BH745</f>
        <v>0</v>
      </c>
      <c r="L303">
        <f>PLANURI!BI745</f>
        <v>28</v>
      </c>
      <c r="M303">
        <f>PLANURI!BJ745</f>
        <v>28</v>
      </c>
      <c r="N303">
        <f>PLANURI!BK745</f>
        <v>0</v>
      </c>
      <c r="O303">
        <f>PLANURI!BL745</f>
        <v>0</v>
      </c>
      <c r="P303">
        <f>PLANURI!BM745</f>
        <v>0</v>
      </c>
      <c r="Q303">
        <f>PLANURI!BN745</f>
        <v>0</v>
      </c>
      <c r="R303">
        <f>PLANURI!BO745</f>
        <v>0</v>
      </c>
      <c r="S303">
        <f>PLANURI!BP745</f>
        <v>0</v>
      </c>
      <c r="T303">
        <f>PLANURI!BQ745</f>
        <v>1.6</v>
      </c>
      <c r="U303">
        <f>PLANURI!BR745</f>
        <v>22</v>
      </c>
      <c r="V303">
        <f>PLANURI!BS745</f>
        <v>2</v>
      </c>
      <c r="W303" t="str">
        <f>PLANURI!BT745</f>
        <v>DC</v>
      </c>
      <c r="X303">
        <f>PLANURI!BU745</f>
        <v>3.6</v>
      </c>
      <c r="Y303">
        <f>PLANURI!BV745</f>
        <v>50</v>
      </c>
      <c r="Z303" t="str">
        <f>PLANURI!A$4</f>
        <v>Facultatea de Mecanică</v>
      </c>
      <c r="AA303" t="str">
        <f>PLANURI!H$6</f>
        <v xml:space="preserve"> Ştiinţe inginereşti</v>
      </c>
      <c r="AB303">
        <f>PLANURI!C$12</f>
        <v>130</v>
      </c>
      <c r="AC303" t="str">
        <f>PLANURI!H$9</f>
        <v>Tehnologia Constructiilor de Masini</v>
      </c>
      <c r="AD303">
        <f>PLANURI!A$12</f>
        <v>20</v>
      </c>
      <c r="AE303">
        <f>PLANURI!B$12</f>
        <v>70</v>
      </c>
      <c r="AF303">
        <f>PLANURI!D$12</f>
        <v>10</v>
      </c>
      <c r="AG303" t="str">
        <f>PLANURI!BW745</f>
        <v>2022</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130</v>
      </c>
      <c r="AC304" t="str">
        <f>PLANURI!H$9</f>
        <v>Tehnologia Constructiilor de Masini</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130</v>
      </c>
      <c r="AC305" t="str">
        <f>PLANURI!H$9</f>
        <v>Tehnologia Constructiilor de Masini</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130</v>
      </c>
      <c r="AC306" t="str">
        <f>PLANURI!H$9</f>
        <v>Tehnologia Constructiilor de Masini</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130</v>
      </c>
      <c r="AC307" t="str">
        <f>PLANURI!H$9</f>
        <v>Tehnologia Constructiilor de Masini</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130</v>
      </c>
      <c r="AC308" t="str">
        <f>PLANURI!H$9</f>
        <v>Tehnologia Constructiilor de Masini</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130</v>
      </c>
      <c r="AC309" t="str">
        <f>PLANURI!H$9</f>
        <v>Tehnologia Constructiilor de Masini</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130</v>
      </c>
      <c r="AC310" t="str">
        <f>PLANURI!H$9</f>
        <v>Tehnologia Constructiilor de Masini</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130</v>
      </c>
      <c r="AC311" t="str">
        <f>PLANURI!H$9</f>
        <v>Tehnologia Constructiilor de Masini</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130</v>
      </c>
      <c r="AC312" t="str">
        <f>PLANURI!H$9</f>
        <v>Tehnologia Constructiilor de Masini</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130</v>
      </c>
      <c r="AC313" t="str">
        <f>PLANURI!H$9</f>
        <v>Tehnologia Constructiilor de Masini</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130</v>
      </c>
      <c r="AC314" t="str">
        <f>PLANURI!H$9</f>
        <v>Tehnologia Constructiilor de Masini</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130</v>
      </c>
      <c r="AC315" t="str">
        <f>PLANURI!H$9</f>
        <v>Tehnologia Constructiilor de Masini</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130</v>
      </c>
      <c r="AC316" t="str">
        <f>PLANURI!H$9</f>
        <v>Tehnologia Constructiilor de Masini</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130</v>
      </c>
      <c r="AC317" t="str">
        <f>PLANURI!H$9</f>
        <v>Tehnologia Constructiilor de Masini</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130</v>
      </c>
      <c r="AC318" t="str">
        <f>PLANURI!H$9</f>
        <v>Tehnologia Constructiilor de Masini</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130</v>
      </c>
      <c r="AC319" t="str">
        <f>PLANURI!H$9</f>
        <v>Tehnologia Constructiilor de Masini</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130</v>
      </c>
      <c r="AC320" t="str">
        <f>PLANURI!H$9</f>
        <v>Tehnologia Constructiilor de Masini</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130</v>
      </c>
      <c r="AC321" t="str">
        <f>PLANURI!H$9</f>
        <v>Tehnologia Constructiilor de Masini</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130</v>
      </c>
      <c r="AC322" t="str">
        <f>PLANURI!H$9</f>
        <v>Tehnologia Constructiilor de Masini</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130</v>
      </c>
      <c r="AC323" t="str">
        <f>PLANURI!H$9</f>
        <v>Tehnologia Constructiilor de Masini</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130</v>
      </c>
      <c r="AC324" t="str">
        <f>PLANURI!H$9</f>
        <v>Tehnologia Constructiilor de Masini</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130</v>
      </c>
      <c r="AC325" t="str">
        <f>PLANURI!H$9</f>
        <v>Tehnologia Constructiilor de Masini</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130</v>
      </c>
      <c r="AC326" t="str">
        <f>PLANURI!H$9</f>
        <v>Tehnologia Constructiilor de Masini</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130</v>
      </c>
      <c r="AC327" t="str">
        <f>PLANURI!H$9</f>
        <v>Tehnologia Constructiilor de Masini</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130</v>
      </c>
      <c r="AC328" t="str">
        <f>PLANURI!H$9</f>
        <v>Tehnologia Constructiilor de Masini</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130</v>
      </c>
      <c r="AC329" t="str">
        <f>PLANURI!H$9</f>
        <v>Tehnologia Constructiilor de Masini</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130</v>
      </c>
      <c r="AC330" t="str">
        <f>PLANURI!H$9</f>
        <v>Tehnologia Constructiilor de Masini</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130</v>
      </c>
      <c r="AC331" t="str">
        <f>PLANURI!H$9</f>
        <v>Tehnologia Constructiilor de Masini</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130</v>
      </c>
      <c r="AC332" t="str">
        <f>PLANURI!H$9</f>
        <v>Tehnologia Constructiilor de Masini</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130</v>
      </c>
      <c r="AC333" t="str">
        <f>PLANURI!H$9</f>
        <v>Tehnologia Constructiilor de Masini</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130</v>
      </c>
      <c r="AC334" t="str">
        <f>PLANURI!H$9</f>
        <v>Tehnologia Constructiilor de Masini</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130</v>
      </c>
      <c r="AC335" t="str">
        <f>PLANURI!H$9</f>
        <v>Tehnologia Constructiilor de Masini</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130</v>
      </c>
      <c r="AC336" t="str">
        <f>PLANURI!H$9</f>
        <v>Tehnologia Constructiilor de Masini</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130</v>
      </c>
      <c r="AC337" t="str">
        <f>PLANURI!H$9</f>
        <v>Tehnologia Constructiilor de Masini</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130</v>
      </c>
      <c r="AC338" t="str">
        <f>PLANURI!H$9</f>
        <v>Tehnologia Constructiilor de Masini</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130</v>
      </c>
      <c r="AC339" t="str">
        <f>PLANURI!H$9</f>
        <v>Tehnologia Constructiilor de Masini</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130</v>
      </c>
      <c r="AC340" t="str">
        <f>PLANURI!H$9</f>
        <v>Tehnologia Constructiilor de Masini</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130</v>
      </c>
      <c r="AC341" t="str">
        <f>PLANURI!H$9</f>
        <v>Tehnologia Constructiilor de Masini</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130</v>
      </c>
      <c r="AC342" t="str">
        <f>PLANURI!H$9</f>
        <v>Tehnologia Constructiilor de Masini</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130</v>
      </c>
      <c r="AC343" t="str">
        <f>PLANURI!H$9</f>
        <v>Tehnologia Constructiilor de Masini</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130</v>
      </c>
      <c r="AC344" t="str">
        <f>PLANURI!H$9</f>
        <v>Tehnologia Constructiilor de Masini</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130</v>
      </c>
      <c r="AC345" t="str">
        <f>PLANURI!H$9</f>
        <v>Tehnologia Constructiilor de Masini</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130</v>
      </c>
      <c r="AC346" t="str">
        <f>PLANURI!H$9</f>
        <v>Tehnologia Constructiilor de Masini</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130</v>
      </c>
      <c r="AC347" t="str">
        <f>PLANURI!H$9</f>
        <v>Tehnologia Constructiilor de Masini</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130</v>
      </c>
      <c r="AC348" t="str">
        <f>PLANURI!H$9</f>
        <v>Tehnologia Constructiilor de Masini</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130</v>
      </c>
      <c r="AC349" t="str">
        <f>PLANURI!H$9</f>
        <v>Tehnologia Constructiilor de Masini</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130</v>
      </c>
      <c r="AC350" t="str">
        <f>PLANURI!H$9</f>
        <v>Tehnologia Constructiilor de Masini</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130</v>
      </c>
      <c r="AC351" t="str">
        <f>PLANURI!H$9</f>
        <v>Tehnologia Constructiilor de Masini</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130</v>
      </c>
      <c r="AC352" t="str">
        <f>PLANURI!H$9</f>
        <v>Tehnologia Constructiilor de Masini</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130</v>
      </c>
      <c r="AC353" t="str">
        <f>PLANURI!H$9</f>
        <v>Tehnologia Constructiilor de Masini</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130</v>
      </c>
      <c r="AC354" t="str">
        <f>PLANURI!H$9</f>
        <v>Tehnologia Constructiilor de Masini</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130</v>
      </c>
      <c r="AC355" t="str">
        <f>PLANURI!H$9</f>
        <v>Tehnologia Constructiilor de Masini</v>
      </c>
      <c r="AD355">
        <f>PLANURI!A$12</f>
        <v>20</v>
      </c>
      <c r="AE355">
        <f>PLANURI!B$12</f>
        <v>70</v>
      </c>
      <c r="AF355">
        <f>PLANURI!D$12</f>
        <v>10</v>
      </c>
      <c r="AG355" t="str">
        <f>PLANURI!BW797</f>
        <v/>
      </c>
    </row>
    <row r="356" spans="1:33" x14ac:dyDescent="0.2">
      <c r="A356" t="str">
        <f>PLANURI!AX798</f>
        <v>L420.19.04.D9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130</v>
      </c>
      <c r="AC356" t="str">
        <f>PLANURI!H$9</f>
        <v>Tehnologia Constructiilor de Masini</v>
      </c>
      <c r="AD356">
        <f>PLANURI!A$12</f>
        <v>20</v>
      </c>
      <c r="AE356">
        <f>PLANURI!B$12</f>
        <v>70</v>
      </c>
      <c r="AF356">
        <f>PLANURI!D$12</f>
        <v>10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130</v>
      </c>
      <c r="AC357" t="str">
        <f>PLANURI!H$9</f>
        <v>Tehnologia Constructiilor de Masini</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130</v>
      </c>
      <c r="AC358" t="str">
        <f>PLANURI!H$9</f>
        <v>Tehnologia Constructiilor de Masini</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130</v>
      </c>
      <c r="AC359" t="str">
        <f>PLANURI!H$9</f>
        <v>Tehnologia Constructiilor de Masini</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130</v>
      </c>
      <c r="AC360" t="str">
        <f>PLANURI!H$9</f>
        <v>Tehnologia Constructiilor de Masini</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130</v>
      </c>
      <c r="AC361" t="str">
        <f>PLANURI!H$9</f>
        <v>Tehnologia Constructiilor de Masini</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130</v>
      </c>
      <c r="AC362" t="str">
        <f>PLANURI!H$9</f>
        <v>Tehnologia Constructiilor de Masini</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130</v>
      </c>
      <c r="AC363" t="str">
        <f>PLANURI!H$9</f>
        <v>Tehnologia Constructiilor de Masini</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130</v>
      </c>
      <c r="AC364" t="str">
        <f>PLANURI!H$9</f>
        <v>Tehnologia Constructiilor de Masini</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130</v>
      </c>
      <c r="AC365" t="str">
        <f>PLANURI!H$9</f>
        <v>Tehnologia Constructiilor de Masini</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130</v>
      </c>
      <c r="AC366" t="str">
        <f>PLANURI!H$9</f>
        <v>Tehnologia Constructiilor de Masini</v>
      </c>
      <c r="AD366">
        <f>PLANURI!A$12</f>
        <v>20</v>
      </c>
      <c r="AE366">
        <f>PLANURI!B$12</f>
        <v>70</v>
      </c>
      <c r="AF366">
        <f>PLANURI!D$12</f>
        <v>10</v>
      </c>
      <c r="AG366" t="str">
        <f>PLANURI!BW808</f>
        <v/>
      </c>
    </row>
    <row r="367" spans="1:33" x14ac:dyDescent="0.2">
      <c r="A367" t="str">
        <f>PLANURI!AX809</f>
        <v>L420.19.05.D8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130</v>
      </c>
      <c r="AC367" t="str">
        <f>PLANURI!H$9</f>
        <v>Tehnologia Constructiilor de Masini</v>
      </c>
      <c r="AD367">
        <f>PLANURI!A$12</f>
        <v>20</v>
      </c>
      <c r="AE367">
        <f>PLANURI!B$12</f>
        <v>70</v>
      </c>
      <c r="AF367">
        <f>PLANURI!D$12</f>
        <v>10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130</v>
      </c>
      <c r="AC368" t="str">
        <f>PLANURI!H$9</f>
        <v>Tehnologia Constructiilor de Masini</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130</v>
      </c>
      <c r="AC369" t="str">
        <f>PLANURI!H$9</f>
        <v>Tehnologia Constructiilor de Masini</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130</v>
      </c>
      <c r="AC370" t="str">
        <f>PLANURI!H$9</f>
        <v>Tehnologia Constructiilor de Masini</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130</v>
      </c>
      <c r="AC371" t="str">
        <f>PLANURI!H$9</f>
        <v>Tehnologia Constructiilor de Masini</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130</v>
      </c>
      <c r="AC372" t="str">
        <f>PLANURI!H$9</f>
        <v>Tehnologia Constructiilor de Masini</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130</v>
      </c>
      <c r="AC373" t="str">
        <f>PLANURI!H$9</f>
        <v>Tehnologia Constructiilor de Masini</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130</v>
      </c>
      <c r="AC374" t="str">
        <f>PLANURI!H$9</f>
        <v>Tehnologia Constructiilor de Masini</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130</v>
      </c>
      <c r="AC375" t="str">
        <f>PLANURI!H$9</f>
        <v>Tehnologia Constructiilor de Masini</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130</v>
      </c>
      <c r="AC376" t="str">
        <f>PLANURI!H$9</f>
        <v>Tehnologia Constructiilor de Masini</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130</v>
      </c>
      <c r="AC377" t="str">
        <f>PLANURI!H$9</f>
        <v>Tehnologia Constructiilor de Masini</v>
      </c>
      <c r="AD377">
        <f>PLANURI!A$12</f>
        <v>20</v>
      </c>
      <c r="AE377">
        <f>PLANURI!B$12</f>
        <v>70</v>
      </c>
      <c r="AF377">
        <f>PLANURI!D$12</f>
        <v>10</v>
      </c>
      <c r="AG377" t="str">
        <f>PLANURI!BW819</f>
        <v/>
      </c>
    </row>
    <row r="378" spans="1:33" x14ac:dyDescent="0.2">
      <c r="A378" t="str">
        <f>PLANURI!AX820</f>
        <v>L420.19.06.S8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130</v>
      </c>
      <c r="AC378" t="str">
        <f>PLANURI!H$9</f>
        <v>Tehnologia Constructiilor de Masini</v>
      </c>
      <c r="AD378">
        <f>PLANURI!A$12</f>
        <v>20</v>
      </c>
      <c r="AE378">
        <f>PLANURI!B$12</f>
        <v>70</v>
      </c>
      <c r="AF378">
        <f>PLANURI!D$12</f>
        <v>10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130</v>
      </c>
      <c r="AC379" t="str">
        <f>PLANURI!H$9</f>
        <v>Tehnologia Constructiilor de Masini</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130</v>
      </c>
      <c r="AC380" t="str">
        <f>PLANURI!H$9</f>
        <v>Tehnologia Constructiilor de Masini</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130</v>
      </c>
      <c r="AC381" t="str">
        <f>PLANURI!H$9</f>
        <v>Tehnologia Constructiilor de Masini</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130</v>
      </c>
      <c r="AC382" t="str">
        <f>PLANURI!H$9</f>
        <v>Tehnologia Constructiilor de Masini</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130</v>
      </c>
      <c r="AC383" t="str">
        <f>PLANURI!H$9</f>
        <v>Tehnologia Constructiilor de Masini</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130</v>
      </c>
      <c r="AC384" t="str">
        <f>PLANURI!H$9</f>
        <v>Tehnologia Constructiilor de Masini</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130</v>
      </c>
      <c r="AC385" t="str">
        <f>PLANURI!H$9</f>
        <v>Tehnologia Constructiilor de Masini</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130</v>
      </c>
      <c r="AC386" t="str">
        <f>PLANURI!H$9</f>
        <v>Tehnologia Constructiilor de Masini</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130</v>
      </c>
      <c r="AC387" t="str">
        <f>PLANURI!H$9</f>
        <v>Tehnologia Constructiilor de Masini</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130</v>
      </c>
      <c r="AC388" t="str">
        <f>PLANURI!H$9</f>
        <v>Tehnologia Constructiilor de Masini</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130</v>
      </c>
      <c r="AC389" t="str">
        <f>PLANURI!H$9</f>
        <v>Tehnologia Constructiilor de Masini</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130</v>
      </c>
      <c r="AC390" t="str">
        <f>PLANURI!H$9</f>
        <v>Tehnologia Constructiilor de Masini</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130</v>
      </c>
      <c r="AC391" t="str">
        <f>PLANURI!H$9</f>
        <v>Tehnologia Constructiilor de Masini</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130</v>
      </c>
      <c r="AC392" t="str">
        <f>PLANURI!H$9</f>
        <v>Tehnologia Constructiilor de Masini</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130</v>
      </c>
      <c r="AC393" t="str">
        <f>PLANURI!H$9</f>
        <v>Tehnologia Constructiilor de Masini</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130</v>
      </c>
      <c r="AC394" t="str">
        <f>PLANURI!H$9</f>
        <v>Tehnologia Constructiilor de Masini</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130</v>
      </c>
      <c r="AC395" t="str">
        <f>PLANURI!H$9</f>
        <v>Tehnologia Constructiilor de Masini</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130</v>
      </c>
      <c r="AC396" t="str">
        <f>PLANURI!H$9</f>
        <v>Tehnologia Constructiilor de Masini</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130</v>
      </c>
      <c r="AC397" t="str">
        <f>PLANURI!H$9</f>
        <v>Tehnologia Constructiilor de Masini</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130</v>
      </c>
      <c r="AC398" t="str">
        <f>PLANURI!H$9</f>
        <v>Tehnologia Constructiilor de Masini</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130</v>
      </c>
      <c r="AC399" t="str">
        <f>PLANURI!H$9</f>
        <v>Tehnologia Constructiilor de Masini</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130</v>
      </c>
      <c r="AC400" t="str">
        <f>PLANURI!H$9</f>
        <v>Tehnologia Constructiilor de Masini</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130</v>
      </c>
      <c r="AC401" t="str">
        <f>PLANURI!H$9</f>
        <v>Tehnologia Constructiilor de Masini</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130</v>
      </c>
      <c r="AC402" t="str">
        <f>PLANURI!H$9</f>
        <v>Tehnologia Constructiilor de Masini</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2021-10-19T06:22:26Z</dcterms:modified>
</cp:coreProperties>
</file>